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<sst xmlns="http://schemas.openxmlformats.org/spreadsheetml/2006/main" count="225" uniqueCount="173">
  <si>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</si>
  <si>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</si>
  <si>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</si>
  <si>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</si>
  <si>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</si>
  <si>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</si>
  <si>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</si>
  <si>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</si>
  <si>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</si>
  <si>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</si>
  <si>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</si>
  <si>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</si>
  <si>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</si>
  <si>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</si>
  <si>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</si>
  <si>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</si>
  <si>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</si>
  <si>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</si>
  <si>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</si>
  <si>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</si>
  <si>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</si>
  <si>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</si>
  <si>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</si>
  <si>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</si>
  <si>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</si>
  <si>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</si>
  <si>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</si>
  <si>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</si>
  <si>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</si>
  <si>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</si>
  <si>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</si>
  <si>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</si>
  <si>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</si>
  <si>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</si>
  <si>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</si>
  <si>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</si>
  <si>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</si>
  <si>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</si>
  <si>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</si>
  <si>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</si>
  <si>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</si>
  <si>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</si>
  <si>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</si>
  <si>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</si>
  <si>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</si>
  <si>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</si>
  <si>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</si>
  <si>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</si>
  <si>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</si>
  <si>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</si>
  <si>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</si>
  <si>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</si>
  <si>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</si>
  <si>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</si>
  <si>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</si>
  <si>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</si>
  <si>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</si>
  <si>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</si>
  <si>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</si>
  <si>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</si>
  <si>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</si>
  <si>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</si>
  <si>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</si>
  <si>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</si>
  <si>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</si>
  <si>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</si>
  <si>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</si>
  <si>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</si>
  <si>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</si>
  <si>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</si>
  <si>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</si>
  <si>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</si>
  <si>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</si>
  <si>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</si>
  <si>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</si>
  <si>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</si>
  <si>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</si>
  <si>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</si>
  <si>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</si>
  <si>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</si>
  <si>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</si>
  <si>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</si>
  <si>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</si>
  <si>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</si>
  <si>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</si>
  <si>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</si>
  <si>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</si>
  <si>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</si>
  <si>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</si>
  <si>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</si>
  <si>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</si>
  <si>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</si>
  <si>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</si>
  <si>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</si>
  <si>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</si>
  <si>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</si>
  <si>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</si>
  <si>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</si>
  <si>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</si>
  <si>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</si>
  <si>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</si>
  <si>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</si>
  <si>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</si>
  <si>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</si>
  <si>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</si>
  <si>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</si>
  <si>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</si>
  <si>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</si>
  <si>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</si>
  <si>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</si>
  <si>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</si>
  <si>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</si>
  <si>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</si>
  <si>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</si>
  <si>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</si>
  <si>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</si>
  <si>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</si>
  <si>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</si>
  <si>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</si>
  <si>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</si>
  <si>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</si>
  <si>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</si>
  <si>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</si>
  <si>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</si>
  <si>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</si>
  <si>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</si>
  <si>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</si>
  <si>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</si>
  <si>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</si>
  <si>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</si>
  <si>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</si>
  <si>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</si>
  <si>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</si>
  <si>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</si>
  <si>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</si>
  <si>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</si>
  <si>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</si>
  <si>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</si>
  <si>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</si>
  <si>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</si>
  <si>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</si>
  <si>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>05.04.2011</t>
  </si>
  <si>
    <t>18.11.2011</t>
  </si>
  <si>
    <t>09.03.2011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</si>
  <si>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</si>
  <si>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</si>
  <si>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</si>
  <si>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</si>
  <si>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</si>
  <si>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</si>
  <si>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</si>
  <si>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</si>
  <si>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</si>
  <si>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</si>
  <si>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</si>
  <si>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</si>
  <si>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</si>
  <si>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</si>
  <si>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</si>
  <si>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</si>
  <si>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</si>
  <si>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Belém, 31 de Dezembro de 2014.</t>
  </si>
  <si>
    <t xml:space="preserve">   Receitas de Bar/Restaurante/Eventos</t>
  </si>
  <si>
    <t>Saldo em 31 de Dezembro de 2013</t>
  </si>
  <si>
    <t>Saldo em 31 de Dezembro de 2014</t>
  </si>
  <si>
    <t xml:space="preserve">                                      Belém, 31 de Dezembro de 2014</t>
  </si>
  <si>
    <t xml:space="preserve">        NO PERÍODO DE 31 DE DEZEMBRO DE 2014 E 2013.</t>
  </si>
  <si>
    <t>31/12/2014</t>
  </si>
  <si>
    <t>31/12/2013</t>
  </si>
  <si>
    <t xml:space="preserve">                            Belém, 31 de Dezembro de 2014</t>
  </si>
  <si>
    <t>Belém, 31 de Dezembro de 2014</t>
  </si>
  <si>
    <t>Ajustes de Exercícios Anteriores</t>
  </si>
  <si>
    <t>Superávit  do Exercício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</si>
</sst>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I1" sqref="I1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42004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358555.81000000006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192825.78</v>
      </c>
      <c r="H16" s="1"/>
      <c r="I16" s="11">
        <f>I17+I18</f>
        <v>28850.64</v>
      </c>
      <c r="K16" s="1"/>
    </row>
    <row r="17" spans="1:9" ht="12.75">
      <c r="A17" t="s">
        <v>77</v>
      </c>
      <c r="E17" s="1"/>
      <c r="F17" s="1"/>
      <c r="G17" s="5">
        <f>192825.78-G18</f>
        <v>88874.01</v>
      </c>
      <c r="H17" s="6"/>
      <c r="I17" s="5">
        <v>10318.64</v>
      </c>
    </row>
    <row r="18" spans="1:9" ht="12.75">
      <c r="A18" t="s">
        <v>78</v>
      </c>
      <c r="F18" s="1"/>
      <c r="G18" s="5">
        <v>103951.77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164083.63000000006</v>
      </c>
      <c r="H20" s="1"/>
      <c r="I20" s="11">
        <f>I22+I25+I24+I31+I33+I23+I32</f>
        <v>210878.25999999998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273948.34</v>
      </c>
      <c r="H22" s="5"/>
      <c r="I22" s="5">
        <v>308808.75</v>
      </c>
      <c r="M22" s="1"/>
    </row>
    <row r="23" spans="1:11" ht="12.75">
      <c r="A23" s="9" t="s">
        <v>136</v>
      </c>
      <c r="B23" s="2"/>
      <c r="C23" s="2"/>
      <c r="D23" s="2"/>
      <c r="F23" s="1"/>
      <c r="G23" s="5">
        <f>-313193.17</f>
        <v>-313193.17</v>
      </c>
      <c r="H23" s="5"/>
      <c r="I23" s="5">
        <f>-285877.15</f>
        <v>-285877.15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f>85232.08+4159</f>
        <v>89391.08</v>
      </c>
      <c r="H24" s="5"/>
      <c r="I24" s="5">
        <v>87322.08</v>
      </c>
      <c r="K24" s="1"/>
    </row>
    <row r="25" spans="1:12" ht="12.75">
      <c r="A25" s="9" t="s">
        <v>79</v>
      </c>
      <c r="G25" s="5">
        <v>7175.9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600+8000</f>
        <v>8600</v>
      </c>
      <c r="H31" s="6"/>
      <c r="I31" s="5">
        <v>4.82</v>
      </c>
      <c r="K31" s="1"/>
    </row>
    <row r="32" spans="1:11" ht="12.75">
      <c r="A32" t="s">
        <v>149</v>
      </c>
      <c r="G32" s="5">
        <v>98161.48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153</v>
      </c>
      <c r="B34" s="2"/>
      <c r="C34" s="2"/>
      <c r="G34" s="11">
        <v>1646.4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508791.38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508791.38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144</v>
      </c>
      <c r="G45" s="5">
        <v>469685.88</v>
      </c>
      <c r="H45" s="6"/>
      <c r="I45" s="5">
        <v>469685.88</v>
      </c>
    </row>
    <row r="46" spans="1:9" ht="12.75">
      <c r="A46" t="s">
        <v>80</v>
      </c>
      <c r="G46" s="5">
        <v>63836.88</v>
      </c>
      <c r="H46" s="6"/>
      <c r="I46" s="5">
        <v>49869.08</v>
      </c>
    </row>
    <row r="47" spans="1:12" ht="12.75">
      <c r="A47" t="s">
        <v>81</v>
      </c>
      <c r="G47" s="5">
        <v>145134.95</v>
      </c>
      <c r="H47" s="6"/>
      <c r="I47" s="5">
        <v>142995.25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137</v>
      </c>
      <c r="G52" s="5">
        <f>-226338.09</f>
        <v>-226338.09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9" ht="13.5" thickBot="1">
      <c r="A54" s="2" t="s">
        <v>5</v>
      </c>
      <c r="B54" s="2"/>
      <c r="G54" s="12">
        <f>G14+G41</f>
        <v>867347.1900000001</v>
      </c>
      <c r="H54" s="1"/>
      <c r="I54" s="12">
        <f>I14+I41</f>
        <v>811162.02</v>
      </c>
    </row>
    <row r="55" ht="13.5" thickTop="1"/>
    <row r="56" ht="12.75">
      <c r="D56" t="s">
        <v>161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155</v>
      </c>
      <c r="F62" t="s">
        <v>156</v>
      </c>
    </row>
    <row r="63" spans="2:7" ht="12.75">
      <c r="B63" t="s">
        <v>104</v>
      </c>
      <c r="G63" t="s">
        <v>146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5">
      <selection activeCell="D42" sqref="D42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42004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670151.81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141129.46+59463.76</f>
        <v>200593.22</v>
      </c>
      <c r="H21" s="1"/>
      <c r="I21" s="1"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61849.09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138</v>
      </c>
      <c r="G28" s="1">
        <v>372542.54</v>
      </c>
      <c r="H28" s="1"/>
      <c r="I28" s="1">
        <v>180403.39</v>
      </c>
    </row>
    <row r="29" spans="1:9" ht="12.75">
      <c r="A29" t="s">
        <v>30</v>
      </c>
      <c r="G29" s="1">
        <v>2222.13</v>
      </c>
      <c r="H29" s="1"/>
      <c r="I29" s="1">
        <v>4635.87</v>
      </c>
    </row>
    <row r="30" spans="1:12" ht="12.75">
      <c r="A30" t="s">
        <v>84</v>
      </c>
      <c r="G30" s="1">
        <v>32944.83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197195.38000000027</v>
      </c>
      <c r="H33" s="1"/>
      <c r="I33" s="11">
        <f>I35+I36</f>
        <v>289849.8099999996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187121.08</v>
      </c>
      <c r="H35" s="1"/>
      <c r="I35" s="1">
        <v>342377.02</v>
      </c>
      <c r="L35" s="1"/>
    </row>
    <row r="36" spans="1:9" ht="12.75">
      <c r="A36" t="s">
        <v>159</v>
      </c>
      <c r="G36" s="1">
        <f>resultado!H40</f>
        <v>10074.30000000028</v>
      </c>
      <c r="H36" s="1"/>
      <c r="I36" s="1">
        <f>resultado!J40</f>
        <v>-52527.21000000043</v>
      </c>
    </row>
    <row r="38" spans="1:9" ht="13.5" thickBot="1">
      <c r="A38" s="2" t="s">
        <v>21</v>
      </c>
      <c r="G38" s="12">
        <f>G18+G33+G31</f>
        <v>867347.1900000003</v>
      </c>
      <c r="H38" s="1"/>
      <c r="I38" s="12">
        <f>I18+I33+I31</f>
        <v>811162.0199999996</v>
      </c>
    </row>
    <row r="39" ht="13.5" thickTop="1"/>
    <row r="40" spans="7:9" ht="12.75">
      <c r="G40" s="1"/>
      <c r="I40" s="1"/>
    </row>
    <row r="41" spans="4:11" ht="12.75">
      <c r="D41" t="s">
        <v>161</v>
      </c>
      <c r="G41" s="1"/>
      <c r="I41" s="1"/>
      <c r="K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155</v>
      </c>
      <c r="F46" t="s">
        <v>156</v>
      </c>
    </row>
    <row r="47" spans="2:7" ht="12.75">
      <c r="B47" t="s">
        <v>105</v>
      </c>
      <c r="G47" t="s">
        <v>146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K1" sqref="K1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42004</v>
      </c>
      <c r="I13" s="4"/>
      <c r="J13" s="8">
        <v>41639</v>
      </c>
    </row>
    <row r="14" ht="13.5" thickTop="1"/>
    <row r="15" spans="1:10" ht="12.75">
      <c r="A15" s="2" t="s">
        <v>57</v>
      </c>
      <c r="H15" s="11">
        <f>H17+H18+H20+H22+H23+H24+H25</f>
        <v>2318396.49</v>
      </c>
      <c r="I15" s="7"/>
      <c r="J15" s="11">
        <f>J17+J18+J20+J22+J23+J24+J25</f>
        <v>3145724.21</v>
      </c>
    </row>
    <row r="16" ht="12.75">
      <c r="I16" s="6"/>
    </row>
    <row r="17" spans="1:10" ht="12.75">
      <c r="A17" t="s">
        <v>85</v>
      </c>
      <c r="G17" s="5"/>
      <c r="H17" s="1">
        <f>resultado!H15</f>
        <v>1803984.92</v>
      </c>
      <c r="I17" s="5"/>
      <c r="J17" s="1">
        <v>1861151.62</v>
      </c>
    </row>
    <row r="18" spans="1:10" ht="12.75">
      <c r="A18" t="s">
        <v>86</v>
      </c>
      <c r="G18" s="5"/>
      <c r="H18" s="1">
        <f>resultado!H16</f>
        <v>239890.89</v>
      </c>
      <c r="I18" s="5"/>
      <c r="J18" s="1">
        <v>987687.75</v>
      </c>
    </row>
    <row r="19" spans="7:10" ht="12.75" hidden="1">
      <c r="G19" s="5"/>
      <c r="H19" s="1">
        <f>resultado!H17</f>
        <v>0</v>
      </c>
      <c r="I19" s="5"/>
      <c r="J19" s="1">
        <v>0</v>
      </c>
    </row>
    <row r="20" spans="1:10" ht="12.75">
      <c r="A20" t="s">
        <v>87</v>
      </c>
      <c r="G20" s="5"/>
      <c r="H20" s="1">
        <f>resultado!H18</f>
        <v>8750</v>
      </c>
      <c r="I20" s="5"/>
      <c r="J20" s="1">
        <v>58350</v>
      </c>
    </row>
    <row r="21" spans="7:10" ht="12.75" hidden="1">
      <c r="G21" s="5"/>
      <c r="H21" s="1">
        <f>resultado!H19</f>
        <v>0</v>
      </c>
      <c r="I21" s="5"/>
      <c r="J21" s="1">
        <v>0</v>
      </c>
    </row>
    <row r="22" spans="1:10" ht="12.75">
      <c r="A22" t="s">
        <v>115</v>
      </c>
      <c r="G22" s="5"/>
      <c r="H22" s="1">
        <f>resultado!H20</f>
        <v>4530</v>
      </c>
      <c r="I22" s="5"/>
      <c r="J22" s="1">
        <v>28238.3</v>
      </c>
    </row>
    <row r="23" spans="1:10" ht="12.75">
      <c r="A23" t="s">
        <v>88</v>
      </c>
      <c r="G23" s="5"/>
      <c r="H23" s="1">
        <f>resultado!H21</f>
        <v>31833.5</v>
      </c>
      <c r="I23" s="5"/>
      <c r="J23" s="1">
        <v>38601</v>
      </c>
    </row>
    <row r="24" spans="1:10" ht="12.75">
      <c r="A24" t="s">
        <v>18</v>
      </c>
      <c r="G24" s="5"/>
      <c r="H24" s="1">
        <f>resultado!H23+resultado!H37</f>
        <v>216918.87</v>
      </c>
      <c r="I24" s="5"/>
      <c r="J24" s="1">
        <v>169112.18</v>
      </c>
    </row>
    <row r="25" spans="1:10" ht="12.75">
      <c r="A25" t="s">
        <v>114</v>
      </c>
      <c r="H25" s="1">
        <f>resultado!H22</f>
        <v>12488.31</v>
      </c>
      <c r="I25" s="6"/>
      <c r="J25" s="1">
        <v>2583.36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1345348.6500000001</v>
      </c>
      <c r="I27" s="7"/>
      <c r="J27" s="11">
        <f>J29+J31</f>
        <v>1809320.11</v>
      </c>
    </row>
    <row r="28" spans="1:9" ht="12.75">
      <c r="A28" s="2"/>
      <c r="I28" s="6"/>
    </row>
    <row r="29" spans="1:10" ht="12.75">
      <c r="A29" t="s">
        <v>59</v>
      </c>
      <c r="H29" s="1">
        <v>238771.23</v>
      </c>
      <c r="I29" s="6"/>
      <c r="J29" s="1">
        <v>630613.56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2483686.54-H29-H44-H53-H60</f>
        <v>1106577.4200000002</v>
      </c>
      <c r="I31" s="6"/>
      <c r="J31" s="1">
        <v>1178706.55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973047.8400000001</v>
      </c>
      <c r="I34" s="7"/>
      <c r="J34" s="11">
        <f>J15-J27</f>
        <v>1336404.0999999999</v>
      </c>
    </row>
    <row r="35" ht="12.75">
      <c r="I35" s="6"/>
    </row>
    <row r="36" spans="1:12" ht="12.75">
      <c r="A36" s="2" t="s">
        <v>63</v>
      </c>
      <c r="H36" s="11">
        <f>H38</f>
        <v>175364.35</v>
      </c>
      <c r="I36" s="7"/>
      <c r="J36" s="11">
        <f>J38</f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175364.35</v>
      </c>
      <c r="I38" s="6"/>
      <c r="J38" s="1">
        <v>43078.02</v>
      </c>
    </row>
    <row r="39" ht="12.75">
      <c r="I39" s="6"/>
    </row>
    <row r="40" spans="1:11" ht="13.5" thickBot="1">
      <c r="A40" s="2" t="s">
        <v>65</v>
      </c>
      <c r="H40" s="12">
        <f>H34+H36</f>
        <v>1148412.1900000002</v>
      </c>
      <c r="I40" s="7"/>
      <c r="J40" s="12">
        <f>J34+J36</f>
        <v>1379482.1199999999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1148412.1900000002</v>
      </c>
      <c r="I42" s="7"/>
      <c r="J42" s="12">
        <f>J44+J53+J60+J64</f>
        <v>1379482.1199999996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1126959.9</v>
      </c>
      <c r="I44" s="7"/>
      <c r="J44" s="11">
        <f>J45+J50+J51</f>
        <v>1425716.98</v>
      </c>
      <c r="K44" s="1"/>
    </row>
    <row r="45" spans="1:10" ht="12.75">
      <c r="A45" t="s">
        <v>68</v>
      </c>
      <c r="H45" s="1">
        <f>458944.43+138.56</f>
        <v>459082.99</v>
      </c>
      <c r="I45" s="6"/>
      <c r="J45" s="1">
        <v>710072.7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526497.59</v>
      </c>
      <c r="I50" s="6"/>
      <c r="J50" s="1">
        <v>533167.95</v>
      </c>
    </row>
    <row r="51" spans="1:10" ht="12.75">
      <c r="A51" t="s">
        <v>95</v>
      </c>
      <c r="H51" s="1">
        <f>129743.32+11636</f>
        <v>141379.32</v>
      </c>
      <c r="I51" s="6"/>
      <c r="J51" s="1">
        <v>182476.33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4327.55</v>
      </c>
      <c r="I53" s="7"/>
      <c r="J53" s="11">
        <f>J54+J56+J57+J55</f>
        <v>2329.2599999999998</v>
      </c>
    </row>
    <row r="54" ht="12.75" hidden="1">
      <c r="I54" s="6"/>
    </row>
    <row r="55" spans="1:10" ht="12.75">
      <c r="A55" t="s">
        <v>118</v>
      </c>
      <c r="H55" s="1">
        <v>806.85</v>
      </c>
      <c r="I55" s="6"/>
      <c r="J55" s="1">
        <v>32.39</v>
      </c>
    </row>
    <row r="56" spans="1:10" ht="12.75">
      <c r="A56" t="s">
        <v>70</v>
      </c>
      <c r="H56" s="1">
        <v>1676.25</v>
      </c>
      <c r="I56" s="6"/>
      <c r="J56" s="1">
        <v>1193.48</v>
      </c>
    </row>
    <row r="57" spans="1:10" ht="12.75">
      <c r="A57" t="s">
        <v>117</v>
      </c>
      <c r="H57" s="1">
        <v>1844.45</v>
      </c>
      <c r="I57" s="6"/>
      <c r="J57" s="1">
        <v>1103.39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7050.44</v>
      </c>
      <c r="I60" s="7"/>
      <c r="J60" s="11">
        <f>J61+J62</f>
        <v>3963.09</v>
      </c>
    </row>
    <row r="61" spans="1:10" ht="12.75">
      <c r="A61" t="s">
        <v>72</v>
      </c>
      <c r="H61" s="1">
        <v>7050.44</v>
      </c>
      <c r="I61" s="6"/>
      <c r="J61" s="1">
        <v>3963.09</v>
      </c>
    </row>
    <row r="62" ht="12.75">
      <c r="I62" s="6"/>
    </row>
    <row r="63" ht="12.75" hidden="1">
      <c r="I63" s="6"/>
    </row>
    <row r="64" spans="1:10" ht="12.75">
      <c r="A64" t="s">
        <v>152</v>
      </c>
      <c r="H64" s="11">
        <f>resultado!H40</f>
        <v>10074.30000000028</v>
      </c>
      <c r="I64" s="7"/>
      <c r="J64" s="11">
        <f>resultado!J40</f>
        <v>-52527.21000000043</v>
      </c>
    </row>
    <row r="66" spans="4:8" ht="12.75">
      <c r="D66" t="s">
        <v>170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155</v>
      </c>
      <c r="F70" t="s">
        <v>156</v>
      </c>
    </row>
    <row r="71" spans="2:7" ht="12.75">
      <c r="B71" t="s">
        <v>106</v>
      </c>
      <c r="G71" t="s">
        <v>146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167</v>
      </c>
      <c r="E11" s="6"/>
      <c r="F11" s="18" t="s">
        <v>168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184050.9900000002</v>
      </c>
      <c r="E13" s="7"/>
      <c r="F13" s="11">
        <f>F15+F26</f>
        <v>22515.610000000015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116645.11000000028</v>
      </c>
      <c r="E15" s="7"/>
      <c r="F15" s="11">
        <f>F16+F19</f>
        <v>73003.14000000001</v>
      </c>
    </row>
    <row r="16" spans="1:6" ht="12.75">
      <c r="A16" s="9" t="s">
        <v>151</v>
      </c>
      <c r="B16" s="19"/>
      <c r="C16" s="13"/>
      <c r="D16" s="19">
        <f>resultado!H40</f>
        <v>10074.30000000028</v>
      </c>
      <c r="E16" s="6"/>
      <c r="F16" s="19">
        <f>-52527.21</f>
        <v>-52527.21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106570.81</v>
      </c>
      <c r="E19" s="7"/>
      <c r="F19" s="11">
        <f>F21+F22+F23</f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139</v>
      </c>
      <c r="D22" s="19">
        <v>79254.79</v>
      </c>
      <c r="E22" s="6"/>
      <c r="F22" s="19">
        <v>75219.24</v>
      </c>
      <c r="H22" s="1"/>
    </row>
    <row r="23" spans="1:8" ht="12.75">
      <c r="A23" s="9"/>
      <c r="B23" s="19"/>
      <c r="C23" s="9" t="s">
        <v>140</v>
      </c>
      <c r="D23" s="19">
        <v>27316.02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67405.87999999992</v>
      </c>
      <c r="E26" s="7"/>
      <c r="F26" s="11">
        <f>F28+F50</f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D29+D30+D31+D41+D44+D43+D45+D46</f>
        <v>21295.009999999987</v>
      </c>
      <c r="E28" s="7"/>
      <c r="F28" s="11">
        <f>F29+F30+F31+F41+F44+F43+F45+F46</f>
        <v>-43657.43</v>
      </c>
      <c r="H28" s="1"/>
    </row>
    <row r="29" spans="1:11" ht="12.75">
      <c r="A29" s="9"/>
      <c r="B29" s="6"/>
      <c r="C29" s="9" t="s">
        <v>76</v>
      </c>
      <c r="D29" s="13">
        <f>ativo!I22-ativo!G22</f>
        <v>34860.409999999974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</f>
        <v>-2069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-3859.24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-8595.18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149</v>
      </c>
      <c r="D43" s="19">
        <f>ativo!I32-ativo!G32</f>
        <v>-858.3799999999901</v>
      </c>
      <c r="E43" s="6"/>
      <c r="F43" s="19">
        <f>-28028.59</f>
        <v>-28028.59</v>
      </c>
    </row>
    <row r="44" spans="1:6" ht="12.75">
      <c r="A44" s="9"/>
      <c r="B44" s="6"/>
      <c r="D44" s="19"/>
      <c r="E44" s="6"/>
      <c r="F44" s="19"/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154</v>
      </c>
      <c r="D46" s="19">
        <f>ativo!I34-ativo!G34</f>
        <v>1816.4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7" ht="12.75">
      <c r="A50" t="s">
        <v>46</v>
      </c>
      <c r="B50" s="6"/>
      <c r="D50" s="11">
        <f>D51+D52+D55+D56+D59+D60</f>
        <v>46110.86999999993</v>
      </c>
      <c r="E50" s="7"/>
      <c r="F50" s="11">
        <f>F51+F52+F55+F56+F59+F60</f>
        <v>-6830.100000000002</v>
      </c>
      <c r="G50" s="7"/>
    </row>
    <row r="51" spans="2:6" ht="12.75">
      <c r="B51" s="6"/>
      <c r="C51" t="s">
        <v>83</v>
      </c>
      <c r="D51" s="19">
        <f>passivo2!G21-passivo2!I21-102728.73</f>
        <v>-169362.27000000002</v>
      </c>
      <c r="E51" s="7"/>
      <c r="F51" s="19">
        <f>-4823.16</f>
        <v>-4823.16</v>
      </c>
    </row>
    <row r="52" spans="2:6" ht="12.75">
      <c r="B52" s="6"/>
      <c r="C52" t="s">
        <v>12</v>
      </c>
      <c r="D52" s="19">
        <f>passivo2!G24-passivo2!I24</f>
        <v>26979.229999999996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138</v>
      </c>
      <c r="D55" s="1">
        <f>passivo2!G28-passivo2!I28</f>
        <v>192139.14999999997</v>
      </c>
      <c r="E55" s="6"/>
      <c r="F55" s="1">
        <v>15923.86</v>
      </c>
    </row>
    <row r="56" spans="2:6" ht="12.75">
      <c r="B56" s="6"/>
      <c r="C56" t="s">
        <v>30</v>
      </c>
      <c r="D56" s="5">
        <f>passivo2!G29-passivo2!I29</f>
        <v>-2413.74</v>
      </c>
      <c r="E56" s="6"/>
      <c r="F56" s="5">
        <v>1099.37</v>
      </c>
    </row>
    <row r="57" spans="2:6" ht="12.75" hidden="1">
      <c r="B57" s="6"/>
      <c r="C57" t="s">
        <v>84</v>
      </c>
      <c r="D57" s="6"/>
      <c r="E57" s="6"/>
      <c r="F57" s="6"/>
    </row>
    <row r="58" spans="4:6" ht="12.75" hidden="1">
      <c r="D58" s="7"/>
      <c r="E58" s="6"/>
      <c r="F58" s="7"/>
    </row>
    <row r="59" spans="2:10" ht="12.75">
      <c r="B59" s="6"/>
      <c r="C59" t="s">
        <v>84</v>
      </c>
      <c r="D59" s="19">
        <f>passivo2!G30-passivo2!I30</f>
        <v>-1231.5</v>
      </c>
      <c r="E59" s="6"/>
      <c r="F59" s="19">
        <f>-21470.15</f>
        <v>-21470.15</v>
      </c>
      <c r="J59" s="1"/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20075.849999999933</v>
      </c>
      <c r="E62" s="7"/>
      <c r="F62" s="11">
        <f>F69</f>
        <v>37811.44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ativo!G43-ativo!I43+D22</f>
        <v>20075.849999999933</v>
      </c>
      <c r="E69" s="6"/>
      <c r="F69" s="1">
        <v>37811.44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163975.14000000025</v>
      </c>
      <c r="E101" s="7"/>
      <c r="F101" s="12">
        <f>F13-F62</f>
        <v>-15295.829999999987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52</v>
      </c>
      <c r="B108" s="7"/>
      <c r="C108" s="9"/>
      <c r="D108" s="21">
        <f>ativo!G16</f>
        <v>192825.78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163975.14</v>
      </c>
      <c r="E110" s="7"/>
      <c r="F110" s="12">
        <f>F108-F106</f>
        <v>-15295.830000000002</v>
      </c>
      <c r="G110" s="1"/>
    </row>
    <row r="111" ht="13.5" thickTop="1">
      <c r="E111" s="6"/>
    </row>
    <row r="112" spans="3:6" ht="12.75">
      <c r="C112" t="s">
        <v>169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155</v>
      </c>
      <c r="D116" t="s">
        <v>147</v>
      </c>
    </row>
    <row r="117" spans="1:4" ht="12.75">
      <c r="A117" t="s">
        <v>107</v>
      </c>
      <c r="D117" t="s">
        <v>148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111</v>
      </c>
      <c r="D123" s="6"/>
      <c r="E123" s="6"/>
      <c r="F123" s="6"/>
      <c r="G123" s="6"/>
    </row>
    <row r="124" ht="12.75">
      <c r="C124" t="s">
        <v>112</v>
      </c>
    </row>
    <row r="125" ht="12.75">
      <c r="C125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2">
      <selection activeCell="E1" sqref="E1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166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145</v>
      </c>
      <c r="B21" s="19">
        <v>50671.02</v>
      </c>
      <c r="C21" s="7"/>
      <c r="D21" s="42">
        <f>-50671.02</f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98</v>
      </c>
      <c r="B23" s="7"/>
      <c r="C23" s="7"/>
      <c r="D23" s="42">
        <v>-52527.21</v>
      </c>
      <c r="E23" s="42">
        <f>D23</f>
        <v>-52527.21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163</v>
      </c>
      <c r="B25" s="40">
        <f>B19+B21</f>
        <v>342377.02</v>
      </c>
      <c r="C25" s="40" t="e">
        <f>C19+#REF!+C23+C21</f>
        <v>#REF!</v>
      </c>
      <c r="D25" s="35">
        <f>D19+D21+D23</f>
        <v>-52527.21</v>
      </c>
      <c r="E25" s="35">
        <f>B25+D25</f>
        <v>289849.81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145</v>
      </c>
      <c r="B27" s="19">
        <v>-52527.21</v>
      </c>
      <c r="C27" s="19"/>
      <c r="D27" s="42">
        <v>52527.21</v>
      </c>
      <c r="E27" s="36"/>
      <c r="F27" s="1"/>
    </row>
    <row r="28" spans="1:6" ht="12.75">
      <c r="A28" s="37"/>
      <c r="B28" s="19"/>
      <c r="C28" s="19"/>
      <c r="D28" s="42"/>
      <c r="E28" s="36"/>
      <c r="F28" s="1"/>
    </row>
    <row r="29" spans="1:6" ht="12.75">
      <c r="A29" s="37" t="s">
        <v>171</v>
      </c>
      <c r="B29" s="19"/>
      <c r="C29" s="19"/>
      <c r="D29" s="42">
        <v>-102728.73</v>
      </c>
      <c r="E29" s="42">
        <f>D29</f>
        <v>-102728.73</v>
      </c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172</v>
      </c>
      <c r="B31" s="7"/>
      <c r="C31" s="7"/>
      <c r="D31" s="42">
        <f>resultado!H40</f>
        <v>10074.30000000028</v>
      </c>
      <c r="E31" s="42">
        <f>D31</f>
        <v>10074.30000000028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164</v>
      </c>
      <c r="B33" s="35">
        <f>B25+B27+B31</f>
        <v>289849.81</v>
      </c>
      <c r="C33" s="35" t="e">
        <f>C25+C27+C31</f>
        <v>#REF!</v>
      </c>
      <c r="D33" s="35">
        <f>D25+D27+D31+D29</f>
        <v>-92654.42999999972</v>
      </c>
      <c r="E33" s="35">
        <f>E25+E27+E31+E29</f>
        <v>197195.3800000003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165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155</v>
      </c>
      <c r="D40" t="s">
        <v>157</v>
      </c>
    </row>
    <row r="41" spans="1:4" ht="12.75">
      <c r="A41" t="s">
        <v>110</v>
      </c>
      <c r="D41" t="s">
        <v>158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3">
      <selection activeCell="F35" sqref="F35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5" ht="12.75">
      <c r="C2">
        <v>2010</v>
      </c>
      <c r="D2">
        <v>2011</v>
      </c>
      <c r="E2">
        <v>2012</v>
      </c>
    </row>
    <row r="4" spans="1:5" ht="12.75">
      <c r="A4" t="s">
        <v>119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  <c r="E4" s="1">
        <f>E5+E6+E7+E8+E9+E10</f>
        <v>3911.908</v>
      </c>
    </row>
    <row r="5" spans="1:5" ht="12.75">
      <c r="A5" t="s">
        <v>120</v>
      </c>
      <c r="B5" s="1">
        <v>4240.08</v>
      </c>
      <c r="C5" s="1">
        <f>B5*10%</f>
        <v>424.00800000000004</v>
      </c>
      <c r="D5" s="1">
        <f>B5*10%</f>
        <v>424.00800000000004</v>
      </c>
      <c r="E5" s="1">
        <f aca="true" t="shared" si="0" ref="E5:E10">B5*10%</f>
        <v>424.00800000000004</v>
      </c>
    </row>
    <row r="6" spans="1:5" ht="12.75">
      <c r="A6" t="s">
        <v>121</v>
      </c>
      <c r="B6" s="1">
        <v>800</v>
      </c>
      <c r="C6" s="1">
        <f>(((B6*10%)/12)/30)*11+((B6*10%)/12)*11</f>
        <v>75.77777777777779</v>
      </c>
      <c r="D6" s="1">
        <f>B6*10%</f>
        <v>80</v>
      </c>
      <c r="E6" s="1">
        <f t="shared" si="0"/>
        <v>80</v>
      </c>
    </row>
    <row r="7" spans="1:5" ht="12.75">
      <c r="A7" t="s">
        <v>122</v>
      </c>
      <c r="B7" s="1">
        <v>4430</v>
      </c>
      <c r="C7" s="1">
        <f>(((B7*10%)/12)/30)*19+((B7*10%)/12)*10</f>
        <v>392.54722222222216</v>
      </c>
      <c r="D7" s="1">
        <f>B7*10%</f>
        <v>443</v>
      </c>
      <c r="E7" s="1">
        <f t="shared" si="0"/>
        <v>443</v>
      </c>
    </row>
    <row r="8" spans="1:5" ht="12.75">
      <c r="A8" t="s">
        <v>123</v>
      </c>
      <c r="B8" s="1">
        <v>26000</v>
      </c>
      <c r="C8" s="1">
        <f>(((B8*10%)/12)/30)*0+((B8*10%)/12)*9</f>
        <v>1950</v>
      </c>
      <c r="D8" s="1">
        <f>B8*10%</f>
        <v>2600</v>
      </c>
      <c r="E8" s="1">
        <f t="shared" si="0"/>
        <v>2600</v>
      </c>
    </row>
    <row r="9" spans="1:5" ht="12.75">
      <c r="A9" t="s">
        <v>141</v>
      </c>
      <c r="B9" s="1">
        <v>1950</v>
      </c>
      <c r="C9" s="1"/>
      <c r="D9" s="1">
        <f>((B9*10%)/12)*8+(16.25/30)*25</f>
        <v>143.54166666666666</v>
      </c>
      <c r="E9" s="1">
        <f t="shared" si="0"/>
        <v>195</v>
      </c>
    </row>
    <row r="10" spans="1:5" ht="12.75">
      <c r="A10" t="s">
        <v>142</v>
      </c>
      <c r="B10" s="1">
        <v>1699</v>
      </c>
      <c r="C10" s="1"/>
      <c r="D10" s="1">
        <f>(B10*10%)/12+(14.15/30)*12</f>
        <v>19.818333333333335</v>
      </c>
      <c r="E10" s="1">
        <f t="shared" si="0"/>
        <v>169.9</v>
      </c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1:5" ht="12.75">
      <c r="A13" t="s">
        <v>124</v>
      </c>
      <c r="B13" s="1">
        <f>B14+B15+B16+B17+B18+B19+B20+B21+B22+B23+B24</f>
        <v>127659.22</v>
      </c>
      <c r="C13" s="1">
        <f>C14+C15+C16+C17+C18+C19+C20+C21+C22+C23+C24</f>
        <v>9367.677227777778</v>
      </c>
      <c r="D13" s="1">
        <f>D14+D15+D16+D17+D18+D19+D20+D21+D22+D23+D24</f>
        <v>11322.922</v>
      </c>
      <c r="E13" s="1">
        <f>E14+E15+E16+E17+E18+E19+E20+E21+E22+E23+E24</f>
        <v>11864.152</v>
      </c>
    </row>
    <row r="14" spans="1:5" ht="12.75">
      <c r="A14" t="s">
        <v>125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  <c r="E14" s="1">
        <f>B14*10%</f>
        <v>3965.9220000000005</v>
      </c>
    </row>
    <row r="15" spans="1:5" ht="12.75">
      <c r="A15" t="s">
        <v>126</v>
      </c>
      <c r="B15" s="1">
        <v>34800</v>
      </c>
      <c r="C15" s="1">
        <f>(((B15*10%)/12)/30)*16+((B15*10%)/12)*11</f>
        <v>3344.6666666666665</v>
      </c>
      <c r="D15" s="1">
        <f aca="true" t="shared" si="1" ref="D15:D20">B15*10%</f>
        <v>3480</v>
      </c>
      <c r="E15" s="1">
        <f aca="true" t="shared" si="2" ref="E15:E20">B15*10%</f>
        <v>3480</v>
      </c>
    </row>
    <row r="16" spans="1:5" ht="12.75">
      <c r="A16" t="s">
        <v>127</v>
      </c>
      <c r="B16" s="1">
        <v>20400</v>
      </c>
      <c r="C16" s="1">
        <f>(((B16*10%)/12)/30)*4+((B16*10%)/12)*9</f>
        <v>1552.6666666666667</v>
      </c>
      <c r="D16" s="1">
        <f t="shared" si="1"/>
        <v>2040</v>
      </c>
      <c r="E16" s="1">
        <f t="shared" si="2"/>
        <v>2040</v>
      </c>
    </row>
    <row r="17" spans="1:5" ht="12.75">
      <c r="A17" t="s">
        <v>128</v>
      </c>
      <c r="B17" s="1">
        <v>2968</v>
      </c>
      <c r="C17" s="1">
        <f>(((B17*10%)/12)/30)*4+((B17*10%)/12)*8</f>
        <v>201.16444444444446</v>
      </c>
      <c r="D17" s="1">
        <f t="shared" si="1"/>
        <v>296.8</v>
      </c>
      <c r="E17" s="1">
        <f t="shared" si="2"/>
        <v>296.8</v>
      </c>
    </row>
    <row r="18" spans="1:5" ht="12.75">
      <c r="A18" t="s">
        <v>129</v>
      </c>
      <c r="B18" s="1">
        <v>2382</v>
      </c>
      <c r="C18" s="1">
        <f>(((B18*10%)/12)/30)*26+((B18*10%)/12)*7</f>
        <v>156.15333333333336</v>
      </c>
      <c r="D18" s="1">
        <f t="shared" si="1"/>
        <v>238.20000000000002</v>
      </c>
      <c r="E18" s="1">
        <f t="shared" si="2"/>
        <v>238.20000000000002</v>
      </c>
    </row>
    <row r="19" spans="1:5" ht="12.75">
      <c r="A19" t="s">
        <v>130</v>
      </c>
      <c r="B19" s="1">
        <v>12600</v>
      </c>
      <c r="C19" s="1">
        <f>(((B19*10%)/12)/30)*10+((B19*10%)/12)*3</f>
        <v>350</v>
      </c>
      <c r="D19" s="1">
        <f t="shared" si="1"/>
        <v>1260</v>
      </c>
      <c r="E19" s="1">
        <f t="shared" si="2"/>
        <v>1260</v>
      </c>
    </row>
    <row r="20" spans="1:5" ht="12.75">
      <c r="A20" t="s">
        <v>131</v>
      </c>
      <c r="B20" s="1">
        <v>420</v>
      </c>
      <c r="C20" s="1">
        <f>(((B20*10%)/12)/30)*25+((B20*10%)/12)*1</f>
        <v>6.416666666666666</v>
      </c>
      <c r="D20" s="1">
        <f t="shared" si="1"/>
        <v>42</v>
      </c>
      <c r="E20" s="1">
        <f t="shared" si="2"/>
        <v>42</v>
      </c>
    </row>
    <row r="21" spans="1:5" ht="12.75">
      <c r="A21" s="45">
        <v>41024</v>
      </c>
      <c r="B21" s="1">
        <v>1000</v>
      </c>
      <c r="C21" s="1"/>
      <c r="D21" s="1"/>
      <c r="E21" s="1">
        <f>(B21*10%)/12*8+0.28*5</f>
        <v>68.06666666666668</v>
      </c>
    </row>
    <row r="22" spans="1:5" ht="12.75">
      <c r="A22" s="45">
        <v>41081</v>
      </c>
      <c r="B22" s="1">
        <v>1444</v>
      </c>
      <c r="C22" s="1"/>
      <c r="D22" s="1"/>
      <c r="E22" s="1">
        <f>(B22*10%)/12*6+0.4*9</f>
        <v>75.8</v>
      </c>
    </row>
    <row r="23" spans="1:5" ht="12.75">
      <c r="A23" s="45">
        <v>41133</v>
      </c>
      <c r="B23" s="1">
        <v>10186</v>
      </c>
      <c r="C23" s="1"/>
      <c r="D23" s="1"/>
      <c r="E23" s="1">
        <f>(B23*10%)/12*4+2.83+19</f>
        <v>361.36333333333334</v>
      </c>
    </row>
    <row r="24" spans="1:5" ht="12.75">
      <c r="A24" s="45">
        <v>41200</v>
      </c>
      <c r="B24" s="1">
        <v>1800</v>
      </c>
      <c r="C24" s="1"/>
      <c r="D24" s="1"/>
      <c r="E24" s="1">
        <f>(B24*10%)/12*2+0.5*12</f>
        <v>36</v>
      </c>
    </row>
    <row r="25" spans="2:5" ht="12.75">
      <c r="B25" s="1"/>
      <c r="C25" s="1"/>
      <c r="D25" s="1"/>
      <c r="E25" s="1"/>
    </row>
    <row r="26" spans="1:5" ht="12.75">
      <c r="A26" t="s">
        <v>132</v>
      </c>
      <c r="B26" s="1">
        <f>B27</f>
        <v>45000</v>
      </c>
      <c r="C26" s="1">
        <f>C27</f>
        <v>9000</v>
      </c>
      <c r="D26" s="1">
        <f>D27</f>
        <v>9000</v>
      </c>
      <c r="E26" s="1">
        <f>E27</f>
        <v>9000</v>
      </c>
    </row>
    <row r="27" spans="1:5" ht="12.75">
      <c r="A27" t="s">
        <v>125</v>
      </c>
      <c r="B27" s="1">
        <v>45000</v>
      </c>
      <c r="C27" s="1">
        <f>(((B27*20%)/12)/30)*0+((B27*20%)/12)*12</f>
        <v>9000</v>
      </c>
      <c r="D27" s="1">
        <f>B27*20%</f>
        <v>9000</v>
      </c>
      <c r="E27" s="1">
        <f>B27*20%</f>
        <v>9000</v>
      </c>
    </row>
    <row r="28" spans="3:5" ht="12.75">
      <c r="C28" s="1"/>
      <c r="D28" s="1"/>
      <c r="E28" s="1"/>
    </row>
    <row r="29" spans="1:5" ht="12.75">
      <c r="A29" t="s">
        <v>133</v>
      </c>
      <c r="B29" s="1">
        <f>B30+B31+B32+B33</f>
        <v>3769</v>
      </c>
      <c r="C29" s="1">
        <f>C30+C31+C32+C33</f>
        <v>360.21000000000004</v>
      </c>
      <c r="D29" s="1">
        <f>D30+D31+D32+D33</f>
        <v>730.6850000000001</v>
      </c>
      <c r="E29" s="1">
        <f>E30+E31+E32+E33</f>
        <v>753.8000000000001</v>
      </c>
    </row>
    <row r="30" spans="1:5" ht="12.75">
      <c r="A30" t="s">
        <v>120</v>
      </c>
      <c r="B30" s="1">
        <v>1378</v>
      </c>
      <c r="C30" s="1">
        <f>(((B30*20%)/12)/30)*0+((B30*20%)/12)*12</f>
        <v>275.6</v>
      </c>
      <c r="D30" s="1">
        <f>B30*20%</f>
        <v>275.6</v>
      </c>
      <c r="E30" s="1">
        <f>B30*20%</f>
        <v>275.6</v>
      </c>
    </row>
    <row r="31" spans="1:5" ht="12.75">
      <c r="A31" t="s">
        <v>134</v>
      </c>
      <c r="B31" s="1">
        <v>900</v>
      </c>
      <c r="C31" s="1">
        <f>(((B31*10%)/12)/30)*13+((B31*10%)/12)*7</f>
        <v>55.75</v>
      </c>
      <c r="D31" s="1">
        <f>B31*20%</f>
        <v>180</v>
      </c>
      <c r="E31" s="1">
        <f>B31*20%</f>
        <v>180</v>
      </c>
    </row>
    <row r="32" spans="1:5" ht="12.75">
      <c r="A32" t="s">
        <v>135</v>
      </c>
      <c r="B32" s="1">
        <v>888</v>
      </c>
      <c r="C32" s="1">
        <f>(((B32*10%)/12)/30)*27+((B32*10%)/12)*3</f>
        <v>28.860000000000003</v>
      </c>
      <c r="D32" s="1">
        <f>B32*20%</f>
        <v>177.60000000000002</v>
      </c>
      <c r="E32" s="1">
        <f>B32*20%</f>
        <v>177.60000000000002</v>
      </c>
    </row>
    <row r="33" spans="1:5" ht="12.75">
      <c r="A33" t="s">
        <v>143</v>
      </c>
      <c r="B33" s="1">
        <v>603</v>
      </c>
      <c r="C33" s="1"/>
      <c r="D33" s="1">
        <f>((B33*20%)/12)*9+(10.05/30)*21</f>
        <v>97.485</v>
      </c>
      <c r="E33" s="1">
        <f>B33*20%</f>
        <v>120.60000000000001</v>
      </c>
    </row>
    <row r="34" spans="2:3" ht="12.75">
      <c r="B34" s="1"/>
      <c r="C34" s="1"/>
    </row>
    <row r="35" spans="2:5" ht="12.75">
      <c r="B35" s="1"/>
      <c r="C35" s="1"/>
      <c r="D35" s="1">
        <f>D13+D26+D4+D29</f>
        <v>24763.975</v>
      </c>
      <c r="E35" s="1">
        <f>E13+E26+E4+E29</f>
        <v>25529.86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1" sqref="J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42004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2318396.49</v>
      </c>
      <c r="I13" s="10"/>
      <c r="J13" s="11">
        <f>J15+J16+J18+J20+J21+J23</f>
        <v>3145724.21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1803984.92</v>
      </c>
      <c r="J15" s="1">
        <v>1861151.62</v>
      </c>
    </row>
    <row r="16" spans="1:10" ht="12.75">
      <c r="A16" t="s">
        <v>162</v>
      </c>
      <c r="G16" s="5"/>
      <c r="H16" s="1">
        <f>106025.88+133865.01</f>
        <v>239890.89</v>
      </c>
      <c r="J16" s="1">
        <v>987687.75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8750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4530</v>
      </c>
      <c r="J20" s="1">
        <v>28238.3</v>
      </c>
    </row>
    <row r="21" spans="1:10" ht="12.75">
      <c r="A21" t="s">
        <v>88</v>
      </c>
      <c r="G21" s="5"/>
      <c r="H21" s="1">
        <v>31833.5</v>
      </c>
      <c r="J21" s="1">
        <v>38601</v>
      </c>
    </row>
    <row r="22" spans="1:10" ht="12.75">
      <c r="A22" t="s">
        <v>114</v>
      </c>
      <c r="G22" s="5"/>
      <c r="H22" s="1">
        <v>12488.31</v>
      </c>
      <c r="J22" s="1"/>
    </row>
    <row r="23" spans="1:10" ht="12.75">
      <c r="A23" t="s">
        <v>18</v>
      </c>
      <c r="G23" s="5"/>
      <c r="H23" s="1">
        <f>8360+480+20+8439.87+198819+800</f>
        <v>216918.87</v>
      </c>
      <c r="J23" s="1">
        <v>171695.54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-2308322.19</v>
      </c>
      <c r="I25" s="10"/>
      <c r="J25" s="11">
        <f>J27+J28+J29+J30+J31+J32</f>
        <v>-3198251.4200000004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-1113221.17</f>
        <v>-1113221.17</v>
      </c>
      <c r="J27" s="1">
        <f>-924835.05</f>
        <v>-924835.05</v>
      </c>
    </row>
    <row r="28" spans="1:10" ht="12.75">
      <c r="A28" t="s">
        <v>16</v>
      </c>
      <c r="G28" s="5"/>
      <c r="H28" s="1">
        <f>-193014.59</f>
        <v>-193014.59</v>
      </c>
      <c r="J28" s="1">
        <f>-203611.39</f>
        <v>-203611.39</v>
      </c>
    </row>
    <row r="29" spans="1:10" ht="12.75">
      <c r="A29" t="s">
        <v>90</v>
      </c>
      <c r="G29" s="5"/>
      <c r="H29" s="1">
        <f>-428666.32</f>
        <v>-428666.32</v>
      </c>
      <c r="J29" s="1">
        <f>-1331585.59</f>
        <v>-1331585.59</v>
      </c>
    </row>
    <row r="30" spans="1:10" ht="12.75">
      <c r="A30" t="s">
        <v>91</v>
      </c>
      <c r="G30" s="5"/>
      <c r="H30" s="1">
        <f>-687053.25</f>
        <v>-687053.25</v>
      </c>
      <c r="J30" s="1">
        <f>-728181.83</f>
        <v>-728181.83</v>
      </c>
    </row>
    <row r="31" spans="1:13" ht="12.75">
      <c r="A31" t="s">
        <v>92</v>
      </c>
      <c r="G31" s="5"/>
      <c r="H31" s="1">
        <f>-61731.21</f>
        <v>-61731.21</v>
      </c>
      <c r="J31" s="1">
        <f>-53115.58</f>
        <v>-53115.58</v>
      </c>
      <c r="M31" s="1"/>
    </row>
    <row r="32" spans="1:10" ht="12.75">
      <c r="A32" t="s">
        <v>27</v>
      </c>
      <c r="G32" s="5"/>
      <c r="H32" s="1">
        <v>175364.35</v>
      </c>
      <c r="J32" s="1">
        <v>43078.02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10074.30000000028</v>
      </c>
      <c r="I35" s="10"/>
      <c r="J35" s="11">
        <f>J13+J25</f>
        <v>-52527.21000000043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160</v>
      </c>
      <c r="B40" s="2"/>
      <c r="C40" s="2"/>
      <c r="D40" s="2"/>
      <c r="E40" s="2"/>
      <c r="F40" s="2"/>
      <c r="G40" s="7"/>
      <c r="H40" s="12">
        <f>H35+H37+H38+H39</f>
        <v>10074.30000000028</v>
      </c>
      <c r="I40" s="10"/>
      <c r="J40" s="12">
        <f>J35+J37+J38+J39</f>
        <v>-52527.21000000043</v>
      </c>
    </row>
    <row r="41" ht="13.5" thickTop="1"/>
    <row r="43" ht="12.75">
      <c r="D43" t="s">
        <v>161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155</v>
      </c>
      <c r="F48" s="6"/>
      <c r="G48" t="s">
        <v>156</v>
      </c>
    </row>
    <row r="49" spans="1:8" ht="12.75">
      <c r="A49" t="s">
        <v>110</v>
      </c>
      <c r="H49" t="s">
        <v>146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Desktop_g</cp:lastModifiedBy>
  <cp:lastPrinted>2015-03-08T15:31:59Z</cp:lastPrinted>
  <dcterms:created xsi:type="dcterms:W3CDTF">1999-02-04T01:52:30Z</dcterms:created>
  <dcterms:modified xsi:type="dcterms:W3CDTF">2015-03-08T15:32:57Z</dcterms:modified>
  <cp:category/>
  <cp:version/>
  <cp:contentType/>
  <cp:contentStatus/>
</cp:coreProperties>
</file>