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6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<sst xmlns="http://schemas.openxmlformats.org/spreadsheetml/2006/main" count="225" uniqueCount="174">
  <si>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</si>
  <si>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</si>
  <si>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</si>
  <si>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</si>
  <si>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</si>
  <si>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</si>
  <si>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</si>
  <si>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</si>
  <si>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</si>
  <si>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</si>
  <si>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</si>
  <si>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</si>
  <si>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</si>
  <si>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</si>
  <si>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</si>
  <si>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</si>
  <si>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</si>
  <si>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</si>
  <si>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</si>
  <si>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</si>
  <si>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</si>
  <si>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</si>
  <si>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</si>
  <si>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</si>
  <si>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</si>
  <si>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</si>
  <si>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</si>
  <si>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</si>
  <si>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</si>
  <si>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</si>
  <si>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</si>
  <si>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</si>
  <si>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</si>
  <si>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</si>
  <si>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</si>
  <si>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</si>
  <si>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</si>
  <si>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</si>
  <si>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</si>
  <si>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</si>
  <si>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</si>
  <si>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</si>
  <si>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</si>
  <si>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</si>
  <si>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</si>
  <si>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</si>
  <si>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</si>
  <si>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</si>
  <si>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</si>
  <si>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</si>
  <si>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</si>
  <si>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</si>
  <si>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</si>
  <si>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</si>
  <si>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</si>
  <si>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</si>
  <si>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</si>
  <si>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</si>
  <si>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</si>
  <si>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</si>
  <si>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</si>
  <si>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</si>
  <si>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</si>
  <si>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</si>
  <si>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</si>
  <si>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</si>
  <si>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</si>
  <si>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</si>
  <si>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</si>
  <si>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</si>
  <si>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</si>
  <si>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</si>
  <si>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</si>
  <si>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</si>
  <si>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</si>
  <si>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</si>
  <si>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</si>
  <si>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</si>
  <si>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</si>
  <si>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</si>
  <si>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</si>
  <si>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</si>
  <si>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</si>
  <si>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</si>
  <si>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</si>
  <si>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</si>
  <si>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</si>
  <si>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</si>
  <si>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</si>
  <si>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</si>
  <si>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</si>
  <si>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</si>
  <si>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</si>
  <si>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</si>
  <si>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</si>
  <si>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</si>
  <si>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</si>
  <si>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</si>
  <si>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</si>
  <si>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</si>
  <si>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</si>
  <si>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</si>
  <si>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</si>
  <si>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</si>
  <si>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</si>
  <si>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</si>
  <si>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</si>
  <si>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</si>
  <si>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</si>
  <si>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</si>
  <si>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</si>
  <si>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</si>
  <si>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</si>
  <si>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</si>
  <si>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</si>
  <si>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</si>
  <si>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</si>
  <si>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Receitas Não Operacionais</t>
  </si>
  <si>
    <t xml:space="preserve">   Doações</t>
  </si>
  <si>
    <t xml:space="preserve">   Mensalidades das Escolinhas</t>
  </si>
  <si>
    <t xml:space="preserve">      Veículos</t>
  </si>
  <si>
    <t xml:space="preserve">    </t>
  </si>
  <si>
    <t xml:space="preserve">          Federais</t>
  </si>
  <si>
    <t xml:space="preserve">          Municipais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</si>
  <si>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</si>
  <si>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</si>
  <si>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</si>
  <si>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</si>
  <si>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</si>
  <si>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</si>
  <si>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</si>
  <si>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</si>
  <si>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</si>
  <si>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</si>
  <si>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</si>
  <si>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</si>
  <si>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</si>
  <si>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</si>
  <si>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</si>
  <si>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</si>
  <si>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</si>
  <si>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</si>
  <si>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</si>
  <si>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</si>
  <si>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</si>
  <si>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</si>
  <si>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</si>
  <si>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</si>
  <si>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>05.04.2011</t>
  </si>
  <si>
    <t>18.11.2011</t>
  </si>
  <si>
    <t>09.03.2011</t>
  </si>
  <si>
    <t xml:space="preserve">      Instalações</t>
  </si>
  <si>
    <t>Transferência para capital</t>
  </si>
  <si>
    <t>Diretora Adm/Financeira</t>
  </si>
  <si>
    <t xml:space="preserve">    ANA ALICE SOUZA DA SILVA</t>
  </si>
  <si>
    <t xml:space="preserve">       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</si>
  <si>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</si>
  <si>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</si>
  <si>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</si>
  <si>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</si>
  <si>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</si>
  <si>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Saldo em 31 de Janeiro de 2013</t>
  </si>
  <si>
    <t xml:space="preserve">                                      Belém, 31 de Janeiro de 2013</t>
  </si>
  <si>
    <t>Belém, 31 de Janeiro de 2013.</t>
  </si>
  <si>
    <t xml:space="preserve">                            Belém, 31 de Janeiro de 2013</t>
  </si>
  <si>
    <t>Belém, 31 de Janeiro de 2013</t>
  </si>
  <si>
    <t>Superávit (Déficit) do Exercício</t>
  </si>
  <si>
    <t>31/01/2013</t>
  </si>
  <si>
    <t xml:space="preserve">      Superávit (Déficit) do Exercício</t>
  </si>
  <si>
    <t xml:space="preserve">     Superávit (Déficit) do Exercício</t>
  </si>
  <si>
    <t xml:space="preserve">        NO PERÍODO DE 31 DE JANEIRO DE 2013 E 31 DEZEMBRO DE 2012.</t>
  </si>
  <si>
    <t>RAIMUNDO NONATO DE CARVALHO RODRIGUES</t>
  </si>
  <si>
    <t xml:space="preserve">                   ANA ALICE SOUZA DA SILVA</t>
  </si>
  <si>
    <t xml:space="preserve">     Diretora Adm/Financeira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</si>
</sst>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5">
      <selection activeCell="D69" sqref="D69:G69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103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41305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</f>
        <v>282667.17000000004</v>
      </c>
      <c r="H14" s="1"/>
      <c r="I14" s="11">
        <f>I16+I20+I35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72611.35</v>
      </c>
      <c r="H16" s="1"/>
      <c r="I16" s="11">
        <f>I17+I18</f>
        <v>44146.47</v>
      </c>
      <c r="K16" s="1"/>
    </row>
    <row r="17" spans="1:9" ht="12.75">
      <c r="A17" t="s">
        <v>77</v>
      </c>
      <c r="E17" s="1"/>
      <c r="F17" s="1"/>
      <c r="G17" s="5">
        <f>72611.35-G18</f>
        <v>62433.61000000001</v>
      </c>
      <c r="H17" s="6"/>
      <c r="I17" s="5">
        <f>44146.47-I18</f>
        <v>42979.28</v>
      </c>
    </row>
    <row r="18" spans="1:9" ht="12.75">
      <c r="A18" t="s">
        <v>78</v>
      </c>
      <c r="F18" s="1"/>
      <c r="G18" s="5">
        <v>10177.74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210055.82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286620.03</v>
      </c>
      <c r="H22" s="5"/>
      <c r="I22" s="5">
        <v>289786.93</v>
      </c>
      <c r="M22" s="1"/>
    </row>
    <row r="23" spans="1:11" ht="12.75">
      <c r="A23" s="9" t="s">
        <v>141</v>
      </c>
      <c r="B23" s="2"/>
      <c r="C23" s="2"/>
      <c r="D23" s="2"/>
      <c r="F23" s="1"/>
      <c r="G23" s="5">
        <f>-242810.71</f>
        <v>-242810.71</v>
      </c>
      <c r="H23" s="5"/>
      <c r="I23" s="5">
        <f>-235566.04</f>
        <v>-235566.04</v>
      </c>
      <c r="K23" s="1"/>
    </row>
    <row r="24" spans="1:11" ht="12.75">
      <c r="A24" s="9" t="s">
        <v>99</v>
      </c>
      <c r="B24" s="2"/>
      <c r="C24" s="2"/>
      <c r="D24" s="2"/>
      <c r="F24" s="1"/>
      <c r="G24" s="5">
        <v>87402.08</v>
      </c>
      <c r="H24" s="5"/>
      <c r="I24" s="5">
        <v>87402.08</v>
      </c>
      <c r="K24" s="1"/>
    </row>
    <row r="25" spans="1:9" ht="12.75">
      <c r="A25" s="9" t="s">
        <v>79</v>
      </c>
      <c r="G25" s="5">
        <v>9474.91</v>
      </c>
      <c r="H25" s="6"/>
      <c r="I25" s="5">
        <v>9117.02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95</v>
      </c>
      <c r="H31" s="6"/>
      <c r="I31" s="5">
        <f>830.24+150</f>
        <v>980.24</v>
      </c>
      <c r="K31" s="1"/>
    </row>
    <row r="32" spans="1:11" ht="12.75">
      <c r="A32" t="s">
        <v>158</v>
      </c>
      <c r="G32" s="5">
        <v>69274.51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7:9" ht="12.75">
      <c r="G34" s="5"/>
      <c r="H34" s="6"/>
      <c r="I34" s="5"/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605378.12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1" ht="12.75">
      <c r="A43" s="2" t="s">
        <v>4</v>
      </c>
      <c r="B43" s="2"/>
      <c r="G43" s="11">
        <f>G44+G46+G49+G47+G50+G51+G48+G54+G45</f>
        <v>605378.12</v>
      </c>
      <c r="H43" s="1"/>
      <c r="I43" s="11">
        <f>I44+I46+I49+I47+I50+I51+I48+I54+I45</f>
        <v>605378.12</v>
      </c>
      <c r="K43" s="1"/>
    </row>
    <row r="44" spans="7:9" ht="12.75" hidden="1">
      <c r="G44" s="5"/>
      <c r="H44" s="6"/>
      <c r="I44" s="5"/>
    </row>
    <row r="45" spans="1:9" ht="12.75">
      <c r="A45" t="s">
        <v>151</v>
      </c>
      <c r="G45" s="5">
        <v>456329.88</v>
      </c>
      <c r="H45" s="6"/>
      <c r="I45" s="5">
        <v>456329.88</v>
      </c>
    </row>
    <row r="46" spans="1:9" ht="12.75">
      <c r="A46" t="s">
        <v>80</v>
      </c>
      <c r="G46" s="5">
        <v>39119.08</v>
      </c>
      <c r="H46" s="6"/>
      <c r="I46" s="5">
        <v>39119.08</v>
      </c>
    </row>
    <row r="47" spans="1:12" ht="12.75">
      <c r="A47" t="s">
        <v>81</v>
      </c>
      <c r="G47" s="5">
        <v>127659.22</v>
      </c>
      <c r="H47" s="6"/>
      <c r="I47" s="5">
        <v>127659.22</v>
      </c>
      <c r="L47" s="1"/>
    </row>
    <row r="48" spans="1:9" ht="12.75">
      <c r="A48" t="s">
        <v>120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3769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7:12" ht="12.75">
      <c r="G51" s="5"/>
      <c r="H51" s="5"/>
      <c r="I51" s="5"/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143</v>
      </c>
      <c r="G54" s="5">
        <f>-71864.06</f>
        <v>-71864.06</v>
      </c>
      <c r="H54" s="5"/>
      <c r="I54" s="5">
        <f>-71864.06</f>
        <v>-71864.06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888045.29</v>
      </c>
      <c r="H56" s="1"/>
      <c r="I56" s="12">
        <f>I14+I41</f>
        <v>870519.33</v>
      </c>
    </row>
    <row r="57" ht="13.5" thickTop="1"/>
    <row r="58" ht="12.75">
      <c r="D58" t="s">
        <v>163</v>
      </c>
    </row>
    <row r="60" ht="12.75">
      <c r="G60" s="1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6" ht="12.75">
      <c r="A64" t="s">
        <v>171</v>
      </c>
      <c r="F64" t="s">
        <v>172</v>
      </c>
    </row>
    <row r="65" spans="2:7" ht="12.75">
      <c r="B65" t="s">
        <v>107</v>
      </c>
      <c r="G65" t="s">
        <v>173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8">
      <selection activeCell="D54" sqref="D54:G54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103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41305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586691.1799999999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192376.85+96479.38</f>
        <v>288856.23</v>
      </c>
      <c r="H21" s="1"/>
      <c r="I21" s="1">
        <f>185860.84+86189.08</f>
        <v>272049.92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60155.19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144</v>
      </c>
      <c r="G28" s="1">
        <v>177044.71</v>
      </c>
      <c r="H28" s="1"/>
      <c r="I28" s="1">
        <v>164479.53</v>
      </c>
    </row>
    <row r="29" spans="1:9" ht="12.75">
      <c r="A29" t="s">
        <v>30</v>
      </c>
      <c r="G29" s="1">
        <v>3758.16</v>
      </c>
      <c r="H29" s="1"/>
      <c r="I29" s="1">
        <v>3536.5</v>
      </c>
    </row>
    <row r="30" spans="1:9" ht="12.75">
      <c r="A30" t="s">
        <v>85</v>
      </c>
      <c r="G30" s="1">
        <v>56876.89</v>
      </c>
      <c r="H30" s="1"/>
      <c r="I30" s="1">
        <v>55646.48</v>
      </c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301354.11000000004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342377.02</v>
      </c>
      <c r="H35" s="1"/>
      <c r="I35" s="1">
        <v>291706</v>
      </c>
    </row>
    <row r="36" spans="1:9" ht="12.75">
      <c r="A36" t="s">
        <v>86</v>
      </c>
      <c r="G36" s="1">
        <f>resultado!H39</f>
        <v>-41022.909999999974</v>
      </c>
      <c r="H36" s="1"/>
      <c r="I36" s="1">
        <f>resultado!J39</f>
        <v>50671.01999999955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888045.29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163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171</v>
      </c>
      <c r="F50" t="s">
        <v>172</v>
      </c>
    </row>
    <row r="51" spans="2:7" ht="12.75">
      <c r="B51" t="s">
        <v>108</v>
      </c>
      <c r="G51" t="s">
        <v>153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40">
      <selection activeCell="D75" sqref="D75:G75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103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41305</v>
      </c>
      <c r="I13" s="4"/>
      <c r="J13" s="8">
        <v>41274</v>
      </c>
    </row>
    <row r="14" ht="13.5" thickTop="1"/>
    <row r="15" spans="1:10" ht="12.75">
      <c r="A15" s="2" t="s">
        <v>57</v>
      </c>
      <c r="H15" s="11">
        <f>H17+H18+H20+H22+H23+H24+H25</f>
        <v>241333.64</v>
      </c>
      <c r="J15" s="11">
        <v>3034180.86</v>
      </c>
    </row>
    <row r="17" spans="1:10" ht="12.75">
      <c r="A17" t="s">
        <v>87</v>
      </c>
      <c r="G17" s="5"/>
      <c r="H17" s="1">
        <f>resultado!H15</f>
        <v>152187</v>
      </c>
      <c r="I17" s="1"/>
      <c r="J17" s="1">
        <v>1860387.1</v>
      </c>
    </row>
    <row r="18" spans="1:10" ht="12.75">
      <c r="A18" t="s">
        <v>88</v>
      </c>
      <c r="G18" s="5"/>
      <c r="H18" s="1">
        <f>resultado!H16</f>
        <v>77781.64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89</v>
      </c>
      <c r="G20" s="5"/>
      <c r="H20" s="1">
        <f>resultado!H18</f>
        <v>6900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119</v>
      </c>
      <c r="G22" s="5"/>
      <c r="H22" s="1">
        <f>resultado!H20</f>
        <v>4035</v>
      </c>
      <c r="I22" s="1"/>
      <c r="J22" s="1">
        <v>76017</v>
      </c>
    </row>
    <row r="23" spans="1:10" ht="12.75">
      <c r="A23" t="s">
        <v>90</v>
      </c>
      <c r="G23" s="5"/>
      <c r="H23" s="1">
        <f>resultado!H21</f>
        <v>200</v>
      </c>
      <c r="I23" s="1"/>
      <c r="J23" s="1">
        <v>29643.56</v>
      </c>
    </row>
    <row r="24" spans="1:10" ht="12.75">
      <c r="A24" t="s">
        <v>18</v>
      </c>
      <c r="G24" s="5"/>
      <c r="H24" s="1">
        <f>resultado!H22</f>
        <v>230</v>
      </c>
      <c r="I24" s="1"/>
      <c r="J24" s="1">
        <v>111879.15</v>
      </c>
    </row>
    <row r="25" spans="1:10" ht="12.75">
      <c r="A25" t="s">
        <v>118</v>
      </c>
      <c r="H25" s="1">
        <v>0</v>
      </c>
      <c r="J25" s="1">
        <v>167082.98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158012.01</v>
      </c>
      <c r="J27" s="11">
        <v>1634128.06</v>
      </c>
    </row>
    <row r="28" ht="12.75">
      <c r="A28" s="2"/>
    </row>
    <row r="29" spans="1:10" ht="12.75">
      <c r="A29" t="s">
        <v>59</v>
      </c>
      <c r="H29" s="1">
        <f>1262.75+1150+41193.67+21521.79+3401.21</f>
        <v>68529.42</v>
      </c>
      <c r="J29" s="1">
        <v>648057.45</v>
      </c>
    </row>
    <row r="30" spans="8:10" ht="12.75" hidden="1">
      <c r="H30" s="1"/>
      <c r="J30" s="1"/>
    </row>
    <row r="31" spans="1:10" ht="12.75">
      <c r="A31" t="s">
        <v>60</v>
      </c>
      <c r="H31" s="1">
        <f>282356.81-H29-H44-H53-H60</f>
        <v>89482.59000000001</v>
      </c>
      <c r="J31" s="1">
        <v>986070.61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83321.63</v>
      </c>
      <c r="I34" s="7"/>
      <c r="J34" s="11">
        <v>1400052.8</v>
      </c>
    </row>
    <row r="35" ht="12.75">
      <c r="I35" s="6"/>
    </row>
    <row r="36" spans="1:12" ht="12.75">
      <c r="A36" s="2" t="s">
        <v>63</v>
      </c>
      <c r="H36" s="11">
        <f>H38</f>
        <v>0.26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0.26</v>
      </c>
      <c r="I38" s="6"/>
      <c r="J38" s="1">
        <v>1424.82</v>
      </c>
    </row>
    <row r="39" ht="12.75">
      <c r="I39" s="6"/>
    </row>
    <row r="40" spans="1:11" ht="13.5" thickBot="1">
      <c r="A40" s="2" t="s">
        <v>65</v>
      </c>
      <c r="H40" s="12">
        <f>H34+H36</f>
        <v>83321.89</v>
      </c>
      <c r="I40" s="7"/>
      <c r="J40" s="12">
        <v>1401477.62</v>
      </c>
      <c r="K40" s="7"/>
    </row>
    <row r="41" ht="13.5" thickTop="1"/>
    <row r="42" spans="1:13" ht="13.5" thickBot="1">
      <c r="A42" s="2" t="s">
        <v>66</v>
      </c>
      <c r="H42" s="12">
        <f>H44+H53+H60+H64</f>
        <v>83321.89000000003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67</v>
      </c>
      <c r="H44" s="11">
        <f>H45+H50+H51</f>
        <v>123856.25</v>
      </c>
      <c r="J44" s="11">
        <v>1344346.63</v>
      </c>
      <c r="K44" s="1"/>
    </row>
    <row r="45" spans="1:10" ht="12.75">
      <c r="A45" t="s">
        <v>68</v>
      </c>
      <c r="H45" s="1">
        <f>14223.96+5049.85+31320.47+16785.97+257.11</f>
        <v>67637.36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f>8478.51+3192.21+18984.63+10695.79</f>
        <v>41351.14</v>
      </c>
      <c r="J50" s="1">
        <v>453213.57</v>
      </c>
    </row>
    <row r="51" spans="1:10" ht="12.75">
      <c r="A51" t="s">
        <v>97</v>
      </c>
      <c r="H51" s="1">
        <f>680.5+474.09+3294.02+3576.19+1500.15+355.59+4109.37+808.78+69.06</f>
        <v>14867.75</v>
      </c>
      <c r="J51" s="1">
        <v>182292.23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15.58</v>
      </c>
      <c r="I53" s="7"/>
      <c r="J53" s="11">
        <v>4038.13</v>
      </c>
    </row>
    <row r="54" ht="12.75" hidden="1"/>
    <row r="55" spans="1:10" ht="12.75">
      <c r="A55" t="s">
        <v>123</v>
      </c>
      <c r="H55" s="1">
        <v>0</v>
      </c>
      <c r="J55" s="1">
        <v>2516.12</v>
      </c>
    </row>
    <row r="56" spans="1:10" ht="12.75">
      <c r="A56" t="s">
        <v>70</v>
      </c>
      <c r="H56" s="1">
        <v>0</v>
      </c>
      <c r="J56" s="1">
        <v>1383.19</v>
      </c>
    </row>
    <row r="57" spans="1:10" ht="12.75">
      <c r="A57" t="s">
        <v>122</v>
      </c>
      <c r="H57" s="1">
        <v>15.58</v>
      </c>
      <c r="J57" s="1">
        <v>138.82</v>
      </c>
    </row>
    <row r="58" ht="12.75" hidden="1"/>
    <row r="60" spans="1:10" ht="12.75">
      <c r="A60" t="s">
        <v>71</v>
      </c>
      <c r="H60" s="11">
        <f>H61+H62</f>
        <v>472.97</v>
      </c>
      <c r="I60" s="7"/>
      <c r="J60" s="11">
        <v>2421.84</v>
      </c>
    </row>
    <row r="61" spans="1:10" ht="12.75">
      <c r="A61" t="s">
        <v>72</v>
      </c>
      <c r="H61" s="1">
        <v>472.97</v>
      </c>
      <c r="J61" s="1">
        <v>2421.84</v>
      </c>
    </row>
    <row r="63" ht="12.75" hidden="1"/>
    <row r="64" spans="1:10" ht="12.75">
      <c r="A64" t="s">
        <v>169</v>
      </c>
      <c r="H64" s="11">
        <f>resultado!H39</f>
        <v>-41022.909999999974</v>
      </c>
      <c r="I64" s="7"/>
      <c r="J64" s="11">
        <v>50671.01999999955</v>
      </c>
    </row>
    <row r="66" spans="4:8" ht="12.75">
      <c r="D66" t="s">
        <v>165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171</v>
      </c>
      <c r="F70" t="s">
        <v>172</v>
      </c>
    </row>
    <row r="71" spans="2:7" ht="12.75">
      <c r="B71" t="s">
        <v>109</v>
      </c>
      <c r="G71" t="s">
        <v>153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49">
      <selection activeCell="A116" sqref="A116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104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167</v>
      </c>
      <c r="E11" s="6"/>
      <c r="F11" s="18" t="s">
        <v>159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28464.879999999976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98</v>
      </c>
      <c r="B15" s="7"/>
      <c r="C15" s="2"/>
      <c r="D15" s="11">
        <f>D16+D19</f>
        <v>-33778.239999999976</v>
      </c>
      <c r="E15" s="7"/>
      <c r="F15" s="11">
        <v>119604.56</v>
      </c>
    </row>
    <row r="16" spans="1:6" ht="12.75">
      <c r="A16" s="9" t="s">
        <v>168</v>
      </c>
      <c r="B16" s="19"/>
      <c r="C16" s="13"/>
      <c r="D16" s="19">
        <f>resultado!H39</f>
        <v>-41022.909999999974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7244.67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145</v>
      </c>
      <c r="D22" s="19">
        <v>0</v>
      </c>
      <c r="E22" s="6"/>
      <c r="F22" s="19">
        <v>25529.86</v>
      </c>
      <c r="H22" s="1"/>
    </row>
    <row r="23" spans="1:8" ht="12.75">
      <c r="A23" s="9"/>
      <c r="B23" s="19"/>
      <c r="C23" s="9" t="s">
        <v>146</v>
      </c>
      <c r="D23" s="19">
        <v>7244.67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62243.11999999995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</f>
        <v>3694.2499999999654</v>
      </c>
      <c r="E28" s="7"/>
      <c r="F28" s="11">
        <v>-108651.45</v>
      </c>
      <c r="H28" s="1"/>
    </row>
    <row r="29" spans="1:11" ht="12.75">
      <c r="A29" s="9"/>
      <c r="B29" s="6"/>
      <c r="C29" s="9" t="s">
        <v>76</v>
      </c>
      <c r="D29" s="13">
        <f>ativo!I22-ativo!G22</f>
        <v>3166.899999999965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99</v>
      </c>
      <c r="D30" s="13">
        <f>ativo!I24-ativo!G24</f>
        <v>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-357.8899999999994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885.24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158</v>
      </c>
      <c r="D43" s="19">
        <f>ativo!I32-ativo!G32</f>
        <v>0</v>
      </c>
      <c r="E43" s="6"/>
      <c r="F43" s="19">
        <v>-50809.86</v>
      </c>
    </row>
    <row r="44" spans="1:6" ht="12.75">
      <c r="A44" s="9"/>
      <c r="B44" s="6"/>
      <c r="C44" t="s">
        <v>142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121</v>
      </c>
      <c r="D46" s="19"/>
      <c r="E46" s="6"/>
      <c r="F46" s="19"/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</f>
        <v>58548.86999999999</v>
      </c>
      <c r="E50" s="7"/>
      <c r="F50" s="11">
        <v>168781.85</v>
      </c>
    </row>
    <row r="51" spans="2:6" ht="12.75">
      <c r="B51" s="6"/>
      <c r="C51" t="s">
        <v>84</v>
      </c>
      <c r="D51" s="19">
        <f>passivo2!G21-passivo2!I21</f>
        <v>16806.309999999998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27725.31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144</v>
      </c>
      <c r="D55" s="1">
        <f>passivo2!G28-passivo2!I28</f>
        <v>12565.179999999993</v>
      </c>
      <c r="E55" s="6"/>
      <c r="F55" s="1">
        <v>164479.53</v>
      </c>
    </row>
    <row r="56" spans="2:6" ht="12.75">
      <c r="B56" s="6"/>
      <c r="C56" t="s">
        <v>30</v>
      </c>
      <c r="D56" s="5">
        <f>passivo2!G29-passivo2!I29</f>
        <v>221.65999999999985</v>
      </c>
      <c r="E56" s="6"/>
      <c r="F56" s="5">
        <v>79.34999999999991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1230.4099999999962</v>
      </c>
      <c r="E59" s="6"/>
      <c r="F59" s="19">
        <v>-14163.79</v>
      </c>
    </row>
    <row r="60" spans="2:6" ht="12.75">
      <c r="B60" s="7"/>
      <c r="C60" s="2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0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v>0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28464.879999999976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5" ht="12.75">
      <c r="A107" s="2"/>
      <c r="B107" s="6"/>
      <c r="C107" s="2"/>
      <c r="E107" s="6"/>
    </row>
    <row r="108" spans="1:8" ht="12.75">
      <c r="A108" s="9" t="s">
        <v>52</v>
      </c>
      <c r="B108" s="7"/>
      <c r="C108" s="9"/>
      <c r="D108" s="21">
        <f>ativo!G16</f>
        <v>72611.35</v>
      </c>
      <c r="E108" s="6"/>
      <c r="F108" s="21">
        <v>44146.47</v>
      </c>
      <c r="H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28464.880000000005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164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171</v>
      </c>
      <c r="D116" t="s">
        <v>156</v>
      </c>
    </row>
    <row r="117" spans="1:4" ht="12.75">
      <c r="A117" t="s">
        <v>110</v>
      </c>
      <c r="D117" t="s">
        <v>157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114</v>
      </c>
      <c r="D123" s="6"/>
      <c r="E123" s="6"/>
      <c r="F123" s="6"/>
      <c r="G123" s="6"/>
    </row>
    <row r="124" ht="12.75">
      <c r="C124" t="s">
        <v>115</v>
      </c>
    </row>
    <row r="125" ht="12.75">
      <c r="C125" t="s">
        <v>116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1">
      <selection activeCell="D37" sqref="D37:F37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105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170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147</v>
      </c>
      <c r="B19" s="38">
        <v>268578.51</v>
      </c>
      <c r="C19" s="39" t="e">
        <v>#REF!</v>
      </c>
      <c r="D19" s="35">
        <v>23127.49</v>
      </c>
      <c r="E19" s="35">
        <v>319249.53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152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101</v>
      </c>
      <c r="B23" s="7"/>
      <c r="C23" s="7"/>
      <c r="D23" s="42">
        <f>resultado!J39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160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E19+E21+E23</f>
        <v>369920.5499999996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152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166</v>
      </c>
      <c r="B29" s="7"/>
      <c r="C29" s="7"/>
      <c r="D29" s="42">
        <f>resultado!H39</f>
        <v>-41022.909999999974</v>
      </c>
      <c r="E29" s="42">
        <f>D29</f>
        <v>-41022.909999999974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6" ht="12.75">
      <c r="A31" s="34" t="s">
        <v>161</v>
      </c>
      <c r="B31" s="35">
        <f>B25+B29+B27</f>
        <v>342377.02</v>
      </c>
      <c r="C31" s="40" t="e">
        <f>C25+C29+C27</f>
        <v>#REF!</v>
      </c>
      <c r="D31" s="35">
        <f>D25+D29+D27</f>
        <v>-41022.91000000042</v>
      </c>
      <c r="E31" s="35">
        <f>E25+E29+E27</f>
        <v>328897.6399999996</v>
      </c>
      <c r="F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162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171</v>
      </c>
      <c r="D38" t="s">
        <v>154</v>
      </c>
    </row>
    <row r="39" spans="1:4" ht="12.75">
      <c r="A39" t="s">
        <v>113</v>
      </c>
      <c r="D39" t="s">
        <v>155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102</v>
      </c>
    </row>
    <row r="46" spans="1:5" ht="12.75">
      <c r="A46" t="s">
        <v>111</v>
      </c>
      <c r="E46" s="1"/>
    </row>
    <row r="47" ht="12.75">
      <c r="A47" t="s">
        <v>112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3">
      <selection activeCell="F35" sqref="F35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5" ht="12.75">
      <c r="C2">
        <v>2010</v>
      </c>
      <c r="D2">
        <v>2011</v>
      </c>
      <c r="E2">
        <v>2012</v>
      </c>
    </row>
    <row r="4" spans="1:5" ht="12.75">
      <c r="A4" t="s">
        <v>124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  <c r="E4" s="1">
        <f>E5+E6+E7+E8+E9+E10</f>
        <v>3911.908</v>
      </c>
    </row>
    <row r="5" spans="1:5" ht="12.75">
      <c r="A5" t="s">
        <v>125</v>
      </c>
      <c r="B5" s="1">
        <v>4240.08</v>
      </c>
      <c r="C5" s="1">
        <f>B5*10%</f>
        <v>424.00800000000004</v>
      </c>
      <c r="D5" s="1">
        <f>B5*10%</f>
        <v>424.00800000000004</v>
      </c>
      <c r="E5" s="1">
        <f aca="true" t="shared" si="0" ref="E5:E10">B5*10%</f>
        <v>424.00800000000004</v>
      </c>
    </row>
    <row r="6" spans="1:5" ht="12.75">
      <c r="A6" t="s">
        <v>126</v>
      </c>
      <c r="B6" s="1">
        <v>800</v>
      </c>
      <c r="C6" s="1">
        <f>(((B6*10%)/12)/30)*11+((B6*10%)/12)*11</f>
        <v>75.77777777777779</v>
      </c>
      <c r="D6" s="1">
        <f>B6*10%</f>
        <v>80</v>
      </c>
      <c r="E6" s="1">
        <f t="shared" si="0"/>
        <v>80</v>
      </c>
    </row>
    <row r="7" spans="1:5" ht="12.75">
      <c r="A7" t="s">
        <v>127</v>
      </c>
      <c r="B7" s="1">
        <v>4430</v>
      </c>
      <c r="C7" s="1">
        <f>(((B7*10%)/12)/30)*19+((B7*10%)/12)*10</f>
        <v>392.54722222222216</v>
      </c>
      <c r="D7" s="1">
        <f>B7*10%</f>
        <v>443</v>
      </c>
      <c r="E7" s="1">
        <f t="shared" si="0"/>
        <v>443</v>
      </c>
    </row>
    <row r="8" spans="1:5" ht="12.75">
      <c r="A8" t="s">
        <v>128</v>
      </c>
      <c r="B8" s="1">
        <v>26000</v>
      </c>
      <c r="C8" s="1">
        <f>(((B8*10%)/12)/30)*0+((B8*10%)/12)*9</f>
        <v>1950</v>
      </c>
      <c r="D8" s="1">
        <f>B8*10%</f>
        <v>2600</v>
      </c>
      <c r="E8" s="1">
        <f t="shared" si="0"/>
        <v>2600</v>
      </c>
    </row>
    <row r="9" spans="1:5" ht="12.75">
      <c r="A9" t="s">
        <v>148</v>
      </c>
      <c r="B9" s="1">
        <v>1950</v>
      </c>
      <c r="C9" s="1"/>
      <c r="D9" s="1">
        <f>((B9*10%)/12)*8+(16.25/30)*25</f>
        <v>143.54166666666666</v>
      </c>
      <c r="E9" s="1">
        <f t="shared" si="0"/>
        <v>195</v>
      </c>
    </row>
    <row r="10" spans="1:5" ht="12.75">
      <c r="A10" t="s">
        <v>149</v>
      </c>
      <c r="B10" s="1">
        <v>1699</v>
      </c>
      <c r="C10" s="1"/>
      <c r="D10" s="1">
        <f>(B10*10%)/12+(14.15/30)*12</f>
        <v>19.818333333333335</v>
      </c>
      <c r="E10" s="1">
        <f t="shared" si="0"/>
        <v>169.9</v>
      </c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1:5" ht="12.75">
      <c r="A13" t="s">
        <v>129</v>
      </c>
      <c r="B13" s="1">
        <f>B14+B15+B16+B17+B18+B19+B20+B21+B22+B23+B24</f>
        <v>127659.22</v>
      </c>
      <c r="C13" s="1">
        <f>C14+C15+C16+C17+C18+C19+C20+C21+C22+C23+C24</f>
        <v>9367.677227777778</v>
      </c>
      <c r="D13" s="1">
        <f>D14+D15+D16+D17+D18+D19+D20+D21+D22+D23+D24</f>
        <v>11322.922</v>
      </c>
      <c r="E13" s="1">
        <f>E14+E15+E16+E17+E18+E19+E20+E21+E22+E23+E24</f>
        <v>11864.152</v>
      </c>
    </row>
    <row r="14" spans="1:5" ht="12.75">
      <c r="A14" t="s">
        <v>130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  <c r="E14" s="1">
        <f>B14*10%</f>
        <v>3965.9220000000005</v>
      </c>
    </row>
    <row r="15" spans="1:5" ht="12.75">
      <c r="A15" t="s">
        <v>131</v>
      </c>
      <c r="B15" s="1">
        <v>34800</v>
      </c>
      <c r="C15" s="1">
        <f>(((B15*10%)/12)/30)*16+((B15*10%)/12)*11</f>
        <v>3344.6666666666665</v>
      </c>
      <c r="D15" s="1">
        <f aca="true" t="shared" si="1" ref="D15:D20">B15*10%</f>
        <v>3480</v>
      </c>
      <c r="E15" s="1">
        <f aca="true" t="shared" si="2" ref="E15:E20">B15*10%</f>
        <v>3480</v>
      </c>
    </row>
    <row r="16" spans="1:5" ht="12.75">
      <c r="A16" t="s">
        <v>132</v>
      </c>
      <c r="B16" s="1">
        <v>20400</v>
      </c>
      <c r="C16" s="1">
        <f>(((B16*10%)/12)/30)*4+((B16*10%)/12)*9</f>
        <v>1552.6666666666667</v>
      </c>
      <c r="D16" s="1">
        <f t="shared" si="1"/>
        <v>2040</v>
      </c>
      <c r="E16" s="1">
        <f t="shared" si="2"/>
        <v>2040</v>
      </c>
    </row>
    <row r="17" spans="1:5" ht="12.75">
      <c r="A17" t="s">
        <v>133</v>
      </c>
      <c r="B17" s="1">
        <v>2968</v>
      </c>
      <c r="C17" s="1">
        <f>(((B17*10%)/12)/30)*4+((B17*10%)/12)*8</f>
        <v>201.16444444444446</v>
      </c>
      <c r="D17" s="1">
        <f t="shared" si="1"/>
        <v>296.8</v>
      </c>
      <c r="E17" s="1">
        <f t="shared" si="2"/>
        <v>296.8</v>
      </c>
    </row>
    <row r="18" spans="1:5" ht="12.75">
      <c r="A18" t="s">
        <v>134</v>
      </c>
      <c r="B18" s="1">
        <v>2382</v>
      </c>
      <c r="C18" s="1">
        <f>(((B18*10%)/12)/30)*26+((B18*10%)/12)*7</f>
        <v>156.15333333333336</v>
      </c>
      <c r="D18" s="1">
        <f t="shared" si="1"/>
        <v>238.20000000000002</v>
      </c>
      <c r="E18" s="1">
        <f t="shared" si="2"/>
        <v>238.20000000000002</v>
      </c>
    </row>
    <row r="19" spans="1:5" ht="12.75">
      <c r="A19" t="s">
        <v>135</v>
      </c>
      <c r="B19" s="1">
        <v>12600</v>
      </c>
      <c r="C19" s="1">
        <f>(((B19*10%)/12)/30)*10+((B19*10%)/12)*3</f>
        <v>350</v>
      </c>
      <c r="D19" s="1">
        <f t="shared" si="1"/>
        <v>1260</v>
      </c>
      <c r="E19" s="1">
        <f t="shared" si="2"/>
        <v>1260</v>
      </c>
    </row>
    <row r="20" spans="1:5" ht="12.75">
      <c r="A20" t="s">
        <v>136</v>
      </c>
      <c r="B20" s="1">
        <v>420</v>
      </c>
      <c r="C20" s="1">
        <f>(((B20*10%)/12)/30)*25+((B20*10%)/12)*1</f>
        <v>6.416666666666666</v>
      </c>
      <c r="D20" s="1">
        <f t="shared" si="1"/>
        <v>42</v>
      </c>
      <c r="E20" s="1">
        <f t="shared" si="2"/>
        <v>42</v>
      </c>
    </row>
    <row r="21" spans="1:5" ht="12.75">
      <c r="A21" s="45">
        <v>41024</v>
      </c>
      <c r="B21" s="1">
        <v>1000</v>
      </c>
      <c r="C21" s="1"/>
      <c r="D21" s="1"/>
      <c r="E21" s="1">
        <f>(B21*10%)/12*8+0.28*5</f>
        <v>68.06666666666668</v>
      </c>
    </row>
    <row r="22" spans="1:5" ht="12.75">
      <c r="A22" s="45">
        <v>41081</v>
      </c>
      <c r="B22" s="1">
        <v>1444</v>
      </c>
      <c r="C22" s="1"/>
      <c r="D22" s="1"/>
      <c r="E22" s="1">
        <f>(B22*10%)/12*6+0.4*9</f>
        <v>75.8</v>
      </c>
    </row>
    <row r="23" spans="1:5" ht="12.75">
      <c r="A23" s="45">
        <v>41133</v>
      </c>
      <c r="B23" s="1">
        <v>10186</v>
      </c>
      <c r="C23" s="1"/>
      <c r="D23" s="1"/>
      <c r="E23" s="1">
        <f>(B23*10%)/12*4+2.83+19</f>
        <v>361.36333333333334</v>
      </c>
    </row>
    <row r="24" spans="1:5" ht="12.75">
      <c r="A24" s="45">
        <v>41200</v>
      </c>
      <c r="B24" s="1">
        <v>1800</v>
      </c>
      <c r="C24" s="1"/>
      <c r="D24" s="1"/>
      <c r="E24" s="1">
        <f>(B24*10%)/12*2+0.5*12</f>
        <v>36</v>
      </c>
    </row>
    <row r="25" spans="2:5" ht="12.75">
      <c r="B25" s="1"/>
      <c r="C25" s="1"/>
      <c r="D25" s="1"/>
      <c r="E25" s="1"/>
    </row>
    <row r="26" spans="1:5" ht="12.75">
      <c r="A26" t="s">
        <v>137</v>
      </c>
      <c r="B26" s="1">
        <f>B27</f>
        <v>45000</v>
      </c>
      <c r="C26" s="1">
        <f>C27</f>
        <v>9000</v>
      </c>
      <c r="D26" s="1">
        <f>D27</f>
        <v>9000</v>
      </c>
      <c r="E26" s="1">
        <f>E27</f>
        <v>9000</v>
      </c>
    </row>
    <row r="27" spans="1:5" ht="12.75">
      <c r="A27" t="s">
        <v>130</v>
      </c>
      <c r="B27" s="1">
        <v>45000</v>
      </c>
      <c r="C27" s="1">
        <f>(((B27*20%)/12)/30)*0+((B27*20%)/12)*12</f>
        <v>9000</v>
      </c>
      <c r="D27" s="1">
        <f>B27*20%</f>
        <v>9000</v>
      </c>
      <c r="E27" s="1">
        <f>B27*20%</f>
        <v>9000</v>
      </c>
    </row>
    <row r="28" spans="3:5" ht="12.75">
      <c r="C28" s="1"/>
      <c r="D28" s="1"/>
      <c r="E28" s="1"/>
    </row>
    <row r="29" spans="1:5" ht="12.75">
      <c r="A29" t="s">
        <v>138</v>
      </c>
      <c r="B29" s="1">
        <f>B30+B31+B32+B33</f>
        <v>3769</v>
      </c>
      <c r="C29" s="1">
        <f>C30+C31+C32+C33</f>
        <v>360.21000000000004</v>
      </c>
      <c r="D29" s="1">
        <f>D30+D31+D32+D33</f>
        <v>730.6850000000001</v>
      </c>
      <c r="E29" s="1">
        <f>E30+E31+E32+E33</f>
        <v>753.8000000000001</v>
      </c>
    </row>
    <row r="30" spans="1:5" ht="12.75">
      <c r="A30" t="s">
        <v>125</v>
      </c>
      <c r="B30" s="1">
        <v>1378</v>
      </c>
      <c r="C30" s="1">
        <f>(((B30*20%)/12)/30)*0+((B30*20%)/12)*12</f>
        <v>275.6</v>
      </c>
      <c r="D30" s="1">
        <f>B30*20%</f>
        <v>275.6</v>
      </c>
      <c r="E30" s="1">
        <f>B30*20%</f>
        <v>275.6</v>
      </c>
    </row>
    <row r="31" spans="1:5" ht="12.75">
      <c r="A31" t="s">
        <v>139</v>
      </c>
      <c r="B31" s="1">
        <v>900</v>
      </c>
      <c r="C31" s="1">
        <f>(((B31*10%)/12)/30)*13+((B31*10%)/12)*7</f>
        <v>55.75</v>
      </c>
      <c r="D31" s="1">
        <f>B31*20%</f>
        <v>180</v>
      </c>
      <c r="E31" s="1">
        <f>B31*20%</f>
        <v>180</v>
      </c>
    </row>
    <row r="32" spans="1:5" ht="12.75">
      <c r="A32" t="s">
        <v>140</v>
      </c>
      <c r="B32" s="1">
        <v>888</v>
      </c>
      <c r="C32" s="1">
        <f>(((B32*10%)/12)/30)*27+((B32*10%)/12)*3</f>
        <v>28.860000000000003</v>
      </c>
      <c r="D32" s="1">
        <f>B32*20%</f>
        <v>177.60000000000002</v>
      </c>
      <c r="E32" s="1">
        <f>B32*20%</f>
        <v>177.60000000000002</v>
      </c>
    </row>
    <row r="33" spans="1:5" ht="12.75">
      <c r="A33" t="s">
        <v>150</v>
      </c>
      <c r="B33" s="1">
        <v>603</v>
      </c>
      <c r="C33" s="1"/>
      <c r="D33" s="1">
        <f>((B33*20%)/12)*9+(10.05/30)*21</f>
        <v>97.485</v>
      </c>
      <c r="E33" s="1">
        <f>B33*20%</f>
        <v>120.60000000000001</v>
      </c>
    </row>
    <row r="34" spans="2:3" ht="12.75">
      <c r="B34" s="1"/>
      <c r="C34" s="1"/>
    </row>
    <row r="35" spans="2:5" ht="12.75">
      <c r="B35" s="1"/>
      <c r="C35" s="1"/>
      <c r="D35" s="1">
        <f>D13+D26+D4+D29</f>
        <v>24763.975</v>
      </c>
      <c r="E35" s="1">
        <f>E13+E26+E4+E29</f>
        <v>25529.86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4">
      <selection activeCell="H56" sqref="H56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106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41305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241333.64</v>
      </c>
      <c r="I13" s="10"/>
      <c r="J13" s="11">
        <f>J15+J16+J18+J20+J21+J22</f>
        <v>2768699.88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f>152187</f>
        <v>152187</v>
      </c>
      <c r="J15" s="1">
        <f>1859037.1+1350</f>
        <v>1860387.1</v>
      </c>
    </row>
    <row r="16" spans="1:10" ht="12.75">
      <c r="A16" t="s">
        <v>88</v>
      </c>
      <c r="G16" s="5"/>
      <c r="H16" s="1">
        <f>54545.01+23236.63</f>
        <v>77781.64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6900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119</v>
      </c>
      <c r="G20" s="5"/>
      <c r="H20" s="1">
        <v>4035</v>
      </c>
      <c r="J20" s="1">
        <v>76017</v>
      </c>
    </row>
    <row r="21" spans="1:10" ht="12.75">
      <c r="A21" t="s">
        <v>90</v>
      </c>
      <c r="G21" s="5"/>
      <c r="H21" s="1">
        <v>200</v>
      </c>
      <c r="J21" s="1">
        <v>29643.56</v>
      </c>
    </row>
    <row r="22" spans="1:10" ht="12.75">
      <c r="A22" t="s">
        <v>18</v>
      </c>
      <c r="G22" s="5"/>
      <c r="H22" s="1">
        <f>10+220</f>
        <v>230</v>
      </c>
      <c r="J22" s="1">
        <f>8021.15+390+110+4960</f>
        <v>13481.15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-282356.55</v>
      </c>
      <c r="I24" s="10"/>
      <c r="J24" s="11">
        <f>J26+J27+J28+J29+J30+J31</f>
        <v>-2983509.8400000003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f>-95801.28</f>
        <v>-95801.28</v>
      </c>
      <c r="J26" s="1">
        <f>-972154.19</f>
        <v>-972154.19</v>
      </c>
    </row>
    <row r="27" spans="1:10" ht="12.75">
      <c r="A27" t="s">
        <v>16</v>
      </c>
      <c r="G27" s="5"/>
      <c r="H27" s="1">
        <f>-11415.74</f>
        <v>-11415.74</v>
      </c>
      <c r="J27" s="1">
        <f>-240902.09</f>
        <v>-240902.09</v>
      </c>
    </row>
    <row r="28" spans="1:10" ht="12.75">
      <c r="A28" t="s">
        <v>92</v>
      </c>
      <c r="G28" s="5"/>
      <c r="H28" s="1">
        <f>-127265.16</f>
        <v>-127265.16</v>
      </c>
      <c r="J28" s="1">
        <f>-1265415.37</f>
        <v>-1265415.37</v>
      </c>
    </row>
    <row r="29" spans="1:10" ht="12.75">
      <c r="A29" t="s">
        <v>93</v>
      </c>
      <c r="G29" s="5"/>
      <c r="H29" s="1">
        <f>-42730</f>
        <v>-42730</v>
      </c>
      <c r="J29" s="1">
        <f>-452296.36</f>
        <v>-452296.36</v>
      </c>
    </row>
    <row r="30" spans="1:13" ht="12.75">
      <c r="A30" t="s">
        <v>94</v>
      </c>
      <c r="G30" s="5"/>
      <c r="H30" s="1">
        <f>-5144.63</f>
        <v>-5144.63</v>
      </c>
      <c r="J30" s="1">
        <f>-54166.65</f>
        <v>-54166.65</v>
      </c>
      <c r="M30" s="1"/>
    </row>
    <row r="31" spans="1:10" ht="12.75">
      <c r="A31" t="s">
        <v>27</v>
      </c>
      <c r="G31" s="5"/>
      <c r="H31" s="1">
        <v>0.26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-41022.909999999974</v>
      </c>
      <c r="I34" s="10"/>
      <c r="J34" s="11">
        <f>J13+J24</f>
        <v>-214809.96000000043</v>
      </c>
    </row>
    <row r="35" spans="7:10" ht="12.75">
      <c r="G35" s="5"/>
      <c r="H35" s="1"/>
      <c r="J35" s="1"/>
    </row>
    <row r="36" spans="1:10" ht="12.75">
      <c r="A36" t="s">
        <v>117</v>
      </c>
      <c r="G36" s="5"/>
      <c r="H36" s="1">
        <v>0</v>
      </c>
      <c r="J36" s="1">
        <v>265480.98</v>
      </c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1:10" ht="13.5" thickBot="1">
      <c r="A39" s="2" t="s">
        <v>100</v>
      </c>
      <c r="B39" s="2"/>
      <c r="C39" s="2"/>
      <c r="D39" s="2"/>
      <c r="E39" s="2"/>
      <c r="F39" s="2"/>
      <c r="G39" s="7"/>
      <c r="H39" s="12">
        <f>H34+H36+H37+H38</f>
        <v>-41022.909999999974</v>
      </c>
      <c r="I39" s="10"/>
      <c r="J39" s="12">
        <f>J34+J36+J37+J38</f>
        <v>50671.01999999955</v>
      </c>
    </row>
    <row r="40" ht="13.5" thickTop="1"/>
    <row r="42" ht="12.75">
      <c r="D42" t="s">
        <v>163</v>
      </c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7" ht="12.75">
      <c r="A47" t="s">
        <v>171</v>
      </c>
      <c r="F47" s="6"/>
      <c r="G47" t="s">
        <v>172</v>
      </c>
    </row>
    <row r="48" spans="1:8" ht="12.75">
      <c r="A48" t="s">
        <v>113</v>
      </c>
      <c r="H48" t="s">
        <v>153</v>
      </c>
    </row>
    <row r="50" ht="12.75" hidden="1"/>
    <row r="52" spans="3:8" ht="12.75">
      <c r="C52" s="3"/>
      <c r="D52" s="6"/>
      <c r="E52" s="6"/>
      <c r="F52" s="6"/>
      <c r="G52" s="6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2012-11-29T19:31:47Z</cp:lastPrinted>
  <dcterms:created xsi:type="dcterms:W3CDTF">1999-02-04T01:52:30Z</dcterms:created>
  <dcterms:modified xsi:type="dcterms:W3CDTF">2013-07-05T15:31:50Z</dcterms:modified>
  <cp:category/>
  <cp:version/>
  <cp:contentType/>
  <cp:contentStatus/>
</cp:coreProperties>
</file>