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3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<sst xmlns="http://schemas.openxmlformats.org/spreadsheetml/2006/main" count="232" uniqueCount="181">
  <si>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</si>
  <si>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</si>
  <si>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</si>
  <si>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</si>
  <si>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</si>
  <si>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</si>
  <si>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</si>
  <si>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</si>
  <si>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</si>
  <si>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</si>
  <si>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</si>
  <si>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</si>
  <si>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</si>
  <si>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</si>
  <si>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</si>
  <si>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</si>
  <si>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</si>
  <si>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</si>
  <si>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</si>
  <si>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</si>
  <si>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</si>
  <si>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</si>
  <si>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</si>
  <si>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</si>
  <si>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</si>
  <si>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</si>
  <si>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</si>
  <si>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</si>
  <si>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</si>
  <si>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</si>
  <si>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</si>
  <si>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</si>
  <si>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</si>
  <si>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</si>
  <si>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</si>
  <si>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</si>
  <si>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</si>
  <si>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</si>
  <si>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</si>
  <si>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</si>
  <si>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</si>
  <si>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</si>
  <si>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</si>
  <si>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</si>
  <si>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</si>
  <si>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</si>
  <si>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</si>
  <si>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</si>
  <si>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</si>
  <si>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</si>
  <si>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</si>
  <si>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</si>
  <si>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</si>
  <si>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</si>
  <si>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</si>
  <si>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</si>
  <si>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</si>
  <si>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</si>
  <si>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</si>
  <si>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</si>
  <si>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</si>
  <si>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</si>
  <si>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</si>
  <si>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</si>
  <si>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</si>
  <si>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</si>
  <si>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</si>
  <si>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</si>
  <si>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</si>
  <si>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</si>
  <si>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</si>
  <si>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</si>
  <si>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</si>
  <si>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</si>
  <si>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</si>
  <si>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</si>
  <si>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</si>
  <si>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</si>
  <si>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</si>
  <si>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</si>
  <si>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</si>
  <si>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</si>
  <si>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</si>
  <si>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</si>
  <si>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</si>
  <si>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</si>
  <si>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Superávit do Exercício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</si>
  <si>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</si>
  <si>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</si>
  <si>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</si>
  <si>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</si>
  <si>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</si>
  <si>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</si>
  <si>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</si>
  <si>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</si>
  <si>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</si>
  <si>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</si>
  <si>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</si>
  <si>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   Superávit do Exercício</t>
  </si>
  <si>
    <t xml:space="preserve">  Superávit Ajustado</t>
  </si>
  <si>
    <t xml:space="preserve">    Cheques a Receber</t>
  </si>
  <si>
    <t xml:space="preserve">      Superávit do Exercício</t>
  </si>
  <si>
    <t>SUPERÁVIT DO EXERCÍCIO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</si>
  <si>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</si>
  <si>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</si>
  <si>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</si>
  <si>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</si>
  <si>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</si>
  <si>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</si>
  <si>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ISAN ELÁDIO SILVA GUIMARÃES</t>
  </si>
  <si>
    <t xml:space="preserve">      ISAN ELÁDIO SILVA GUIMARÃES</t>
  </si>
  <si>
    <t>Presidente</t>
  </si>
  <si>
    <t xml:space="preserve">   Presidente</t>
  </si>
  <si>
    <t xml:space="preserve">       ISAN ELÁDIO SILVA GUIMARÃES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</si>
  <si>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</si>
  <si>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</si>
  <si>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</si>
  <si>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</si>
  <si>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</si>
  <si>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</si>
  <si>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</si>
  <si>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</si>
  <si>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 ISAN ELÁDIO SILVA GUIMARÃES</t>
  </si>
  <si>
    <t xml:space="preserve">    Receitas Não Operacionais</t>
  </si>
  <si>
    <t xml:space="preserve">   Doações</t>
  </si>
  <si>
    <t>Doações</t>
  </si>
  <si>
    <t xml:space="preserve">   Mensalidades das Escolinhas</t>
  </si>
  <si>
    <t xml:space="preserve">      Obras em Andamento</t>
  </si>
  <si>
    <t xml:space="preserve">    Despesas do Período Seguinte</t>
  </si>
  <si>
    <t xml:space="preserve">      Veículos</t>
  </si>
  <si>
    <t xml:space="preserve">    </t>
  </si>
  <si>
    <t xml:space="preserve">          Federais</t>
  </si>
  <si>
    <t xml:space="preserve">          Municipais</t>
  </si>
  <si>
    <t xml:space="preserve">    Despesas Não Operacionais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</si>
  <si>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</si>
  <si>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</si>
  <si>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</si>
  <si>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</si>
  <si>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</si>
  <si>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</si>
  <si>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</si>
  <si>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</si>
  <si>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</si>
  <si>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</si>
  <si>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</si>
  <si>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</si>
  <si>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</si>
  <si>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</si>
  <si>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</si>
  <si>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</si>
  <si>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</si>
  <si>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>Saldo em 31 de Dezembro de 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</si>
  <si>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</si>
  <si>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</si>
  <si>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</si>
  <si>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</si>
  <si>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</si>
  <si>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</si>
  <si>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</si>
  <si>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>05.04.2011</t>
  </si>
  <si>
    <t>18.11.2011</t>
  </si>
  <si>
    <t>09.03.2011</t>
  </si>
  <si>
    <t xml:space="preserve">      Instalações</t>
  </si>
  <si>
    <t>31/12/2011</t>
  </si>
  <si>
    <t>Transferência para capital</t>
  </si>
  <si>
    <t xml:space="preserve">             ANA ALICE SOUZA DA SILVA</t>
  </si>
  <si>
    <t>Diretora Adm/Financeira</t>
  </si>
  <si>
    <t xml:space="preserve">    ANA ALICE SOUZA DA SILVA</t>
  </si>
  <si>
    <t xml:space="preserve">       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</si>
  <si>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</si>
  <si>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</si>
  <si>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</si>
  <si>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Vale Transporte</t>
  </si>
  <si>
    <t>Belém, 31 de Julho de 2012.</t>
  </si>
  <si>
    <t>Saldo em 31 de Julho de 2012</t>
  </si>
  <si>
    <t xml:space="preserve">        NO PERÍODO DE 31 DE JULHO DE 2012 E 31 DE DEZEMBRO DE 2011.</t>
  </si>
  <si>
    <t xml:space="preserve">                                      Belém, 31 de Julho de 2012</t>
  </si>
  <si>
    <t xml:space="preserve">                            Belém, 31 de Julho de 2012</t>
  </si>
  <si>
    <t>DESPESAS DO PERÍODO SEGUINTE</t>
  </si>
  <si>
    <t>31/07/2012</t>
  </si>
  <si>
    <t>Belém, 31 de Julho de 2012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</si>
</sst>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24">
      <selection activeCell="I22" sqref="I22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105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41121</v>
      </c>
      <c r="H11" s="4"/>
      <c r="I11" s="8">
        <v>40908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</f>
        <v>282268.74000000005</v>
      </c>
      <c r="H14" s="1"/>
      <c r="I14" s="11">
        <f>I16+I20</f>
        <v>180563.11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98715.62000000001</v>
      </c>
      <c r="H16" s="1"/>
      <c r="I16" s="11">
        <f>I17+I18</f>
        <v>24816.14</v>
      </c>
      <c r="K16" s="1"/>
    </row>
    <row r="17" spans="1:9" ht="12.75">
      <c r="A17" t="s">
        <v>77</v>
      </c>
      <c r="E17" s="1"/>
      <c r="F17" s="1"/>
      <c r="G17" s="5">
        <f>38363.01+50965.73</f>
        <v>89328.74</v>
      </c>
      <c r="H17" s="6"/>
      <c r="I17" s="5">
        <f>24816.14-I18</f>
        <v>5143.579999999998</v>
      </c>
    </row>
    <row r="18" spans="1:9" ht="12.75">
      <c r="A18" t="s">
        <v>78</v>
      </c>
      <c r="F18" s="1"/>
      <c r="G18" s="5">
        <v>9386.88</v>
      </c>
      <c r="H18" s="5"/>
      <c r="I18" s="5">
        <v>19672.56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179425.12000000005</v>
      </c>
      <c r="H20" s="1"/>
      <c r="I20" s="11">
        <f>I22+I25+I24+I31+I33+I23+I32</f>
        <v>155746.97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237646.88</v>
      </c>
      <c r="H22" s="5"/>
      <c r="I22" s="5">
        <v>236389.99</v>
      </c>
      <c r="M22" s="1"/>
    </row>
    <row r="23" spans="1:11" ht="12.75">
      <c r="A23" s="9" t="s">
        <v>152</v>
      </c>
      <c r="B23" s="2"/>
      <c r="C23" s="2"/>
      <c r="D23" s="2"/>
      <c r="F23" s="1"/>
      <c r="G23" s="5">
        <v>-207637.33</v>
      </c>
      <c r="H23" s="5"/>
      <c r="I23" s="5">
        <v>-192162.36</v>
      </c>
      <c r="K23" s="1"/>
    </row>
    <row r="24" spans="1:11" ht="12.75">
      <c r="A24" s="9" t="s">
        <v>100</v>
      </c>
      <c r="B24" s="2"/>
      <c r="C24" s="2"/>
      <c r="D24" s="2"/>
      <c r="F24" s="1"/>
      <c r="G24" s="5">
        <v>86552.08</v>
      </c>
      <c r="H24" s="5"/>
      <c r="I24" s="5">
        <v>83166.08</v>
      </c>
      <c r="K24" s="1"/>
    </row>
    <row r="25" spans="1:9" ht="12.75">
      <c r="A25" s="9" t="s">
        <v>79</v>
      </c>
      <c r="G25" s="5">
        <v>25725.42</v>
      </c>
      <c r="H25" s="6"/>
      <c r="I25" s="5">
        <v>7681.61</v>
      </c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f>67.87</f>
        <v>67.87</v>
      </c>
      <c r="H31" s="6"/>
      <c r="I31" s="5">
        <v>2000</v>
      </c>
      <c r="K31" s="1"/>
    </row>
    <row r="32" spans="1:11" ht="12.75">
      <c r="A32" t="s">
        <v>171</v>
      </c>
      <c r="G32" s="5">
        <v>36929.3</v>
      </c>
      <c r="H32" s="6"/>
      <c r="I32" s="5">
        <v>18464.65</v>
      </c>
      <c r="K32" s="1"/>
    </row>
    <row r="33" spans="1:9" ht="12.75">
      <c r="A33" t="s">
        <v>153</v>
      </c>
      <c r="G33" s="5">
        <f>140.9</f>
        <v>140.9</v>
      </c>
      <c r="H33" s="6"/>
      <c r="I33" s="5">
        <f>18464.65+207-18464.65</f>
        <v>207</v>
      </c>
    </row>
    <row r="34" spans="7:9" ht="12.75">
      <c r="G34" s="5"/>
      <c r="H34" s="6"/>
      <c r="I34" s="5"/>
    </row>
    <row r="35" spans="1:9" ht="12.75">
      <c r="A35" s="2" t="s">
        <v>178</v>
      </c>
      <c r="G35" s="21">
        <f>G36</f>
        <v>4128</v>
      </c>
      <c r="H35" s="6"/>
      <c r="I35" s="21">
        <v>0</v>
      </c>
    </row>
    <row r="36" spans="1:9" ht="12.75">
      <c r="A36" t="s">
        <v>172</v>
      </c>
      <c r="G36" s="5">
        <v>4128</v>
      </c>
      <c r="H36" s="6"/>
      <c r="I36" s="5">
        <v>0</v>
      </c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618921.98</v>
      </c>
      <c r="H41" s="1"/>
      <c r="I41" s="11">
        <f>I43</f>
        <v>470503.35</v>
      </c>
      <c r="J41" s="1"/>
    </row>
    <row r="42" spans="1:9" ht="12.75">
      <c r="A42" s="2"/>
      <c r="B42" s="2"/>
      <c r="C42" s="2"/>
      <c r="G42" s="5"/>
      <c r="H42" s="6"/>
      <c r="I42" s="5"/>
    </row>
    <row r="43" spans="1:11" ht="12.75">
      <c r="A43" s="2" t="s">
        <v>4</v>
      </c>
      <c r="B43" s="2"/>
      <c r="G43" s="11">
        <f>G44+G46+G49+G47+G50+G51+G48+G54+G45</f>
        <v>618921.98</v>
      </c>
      <c r="H43" s="1"/>
      <c r="I43" s="11">
        <f>I44+I46+I49+I47+I50+I51+I48+I54+I45</f>
        <v>470503.35</v>
      </c>
      <c r="K43" s="1"/>
    </row>
    <row r="44" spans="7:9" ht="12.75" hidden="1">
      <c r="G44" s="5"/>
      <c r="H44" s="6"/>
      <c r="I44" s="5"/>
    </row>
    <row r="45" spans="1:9" ht="12.75">
      <c r="A45" t="s">
        <v>162</v>
      </c>
      <c r="G45" s="5">
        <v>310355.25</v>
      </c>
      <c r="H45" s="6"/>
      <c r="I45" s="5">
        <v>310355.25</v>
      </c>
    </row>
    <row r="46" spans="1:9" ht="12.75">
      <c r="A46" t="s">
        <v>80</v>
      </c>
      <c r="G46" s="5">
        <v>39119.08</v>
      </c>
      <c r="H46" s="6"/>
      <c r="I46" s="5">
        <v>39119.08</v>
      </c>
    </row>
    <row r="47" spans="1:12" ht="12.75">
      <c r="A47" t="s">
        <v>81</v>
      </c>
      <c r="G47" s="5">
        <v>115673.22</v>
      </c>
      <c r="H47" s="6"/>
      <c r="I47" s="5">
        <v>113229.22</v>
      </c>
      <c r="L47" s="1"/>
    </row>
    <row r="48" spans="1:9" ht="12.75">
      <c r="A48" t="s">
        <v>129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3769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1:12" ht="12.75">
      <c r="A51" t="s">
        <v>127</v>
      </c>
      <c r="G51" s="5">
        <v>145974.63</v>
      </c>
      <c r="H51" s="5"/>
      <c r="I51" s="5">
        <v>0</v>
      </c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154</v>
      </c>
      <c r="G54" s="5">
        <f>-46334.2</f>
        <v>-46334.2</v>
      </c>
      <c r="H54" s="5"/>
      <c r="I54" s="5">
        <f>-46334.2</f>
        <v>-46334.2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901190.72</v>
      </c>
      <c r="H56" s="1"/>
      <c r="I56" s="12">
        <f>I14+I41</f>
        <v>651066.46</v>
      </c>
    </row>
    <row r="57" ht="13.5" thickTop="1"/>
    <row r="58" ht="12.75">
      <c r="D58" t="s">
        <v>173</v>
      </c>
    </row>
    <row r="60" ht="12.75">
      <c r="G60" s="1"/>
    </row>
    <row r="63" spans="1:10" ht="12.75">
      <c r="A63" s="3"/>
      <c r="B63" s="3"/>
      <c r="C63" s="3"/>
      <c r="D63" s="3"/>
      <c r="F63" s="3"/>
      <c r="G63" s="3"/>
      <c r="H63" s="3"/>
      <c r="I63" s="3"/>
      <c r="J63" s="6"/>
    </row>
    <row r="64" spans="1:6" ht="12.75">
      <c r="A64" t="s">
        <v>110</v>
      </c>
      <c r="F64" t="s">
        <v>165</v>
      </c>
    </row>
    <row r="65" spans="2:7" ht="12.75">
      <c r="B65" t="s">
        <v>111</v>
      </c>
      <c r="G65" t="s">
        <v>166</v>
      </c>
    </row>
    <row r="68" ht="12.75" hidden="1"/>
    <row r="69" spans="3:7" ht="12.75">
      <c r="C69" s="6"/>
      <c r="D69" s="3"/>
      <c r="E69" s="3"/>
      <c r="F69" s="3"/>
      <c r="G69" s="3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0">
      <selection activeCell="G31" sqref="G3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105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41121</v>
      </c>
      <c r="H13" s="4"/>
      <c r="I13" s="8">
        <v>40908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485060.11</v>
      </c>
      <c r="H18" s="1"/>
      <c r="I18" s="11">
        <f>I21+I24+I25+I26+I23+I27+I29+I30+I28</f>
        <v>359360.4600000001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9" ht="12.75">
      <c r="A21" t="s">
        <v>84</v>
      </c>
      <c r="G21" s="1">
        <f>150415.93+128881.38</f>
        <v>279297.31</v>
      </c>
      <c r="H21" s="1"/>
      <c r="I21" s="1">
        <f>169214.31+98673.6</f>
        <v>267887.91000000003</v>
      </c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70428.37</v>
      </c>
      <c r="H24" s="1"/>
      <c r="I24" s="1">
        <v>18205.13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155</v>
      </c>
      <c r="G28" s="1">
        <v>73260.05</v>
      </c>
      <c r="H28" s="1"/>
      <c r="I28" s="1">
        <v>0</v>
      </c>
    </row>
    <row r="29" spans="1:9" ht="12.75">
      <c r="A29" t="s">
        <v>30</v>
      </c>
      <c r="G29" s="1">
        <v>3201.77</v>
      </c>
      <c r="H29" s="1"/>
      <c r="I29" s="1">
        <v>3457.15</v>
      </c>
    </row>
    <row r="30" spans="1:9" ht="12.75">
      <c r="A30" t="s">
        <v>85</v>
      </c>
      <c r="G30" s="1">
        <v>58872.61</v>
      </c>
      <c r="H30" s="1"/>
      <c r="I30" s="1">
        <v>69810.27</v>
      </c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416130.60999999987</v>
      </c>
      <c r="H33" s="1"/>
      <c r="I33" s="11">
        <f>I35+I37+I36</f>
        <v>291706.00000000047</v>
      </c>
    </row>
    <row r="34" spans="7:9" ht="12.75">
      <c r="G34" s="1"/>
      <c r="H34" s="1"/>
      <c r="I34" s="1"/>
    </row>
    <row r="35" spans="1:9" ht="12.75">
      <c r="A35" t="s">
        <v>22</v>
      </c>
      <c r="G35" s="1">
        <v>291706</v>
      </c>
      <c r="H35" s="1"/>
      <c r="I35" s="1">
        <v>268578.51</v>
      </c>
    </row>
    <row r="36" spans="1:9" ht="12.75">
      <c r="A36" t="s">
        <v>86</v>
      </c>
      <c r="G36" s="1">
        <f>resultado!H39</f>
        <v>124424.60999999984</v>
      </c>
      <c r="H36" s="1"/>
      <c r="I36" s="1">
        <f>resultado!J39</f>
        <v>23127.490000000464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9" ht="12.75">
      <c r="G40" s="1"/>
      <c r="H40" s="1"/>
      <c r="I40" s="1"/>
    </row>
    <row r="42" spans="1:9" ht="13.5" thickBot="1">
      <c r="A42" s="2" t="s">
        <v>21</v>
      </c>
      <c r="G42" s="12">
        <f>G18+G33+G31</f>
        <v>901190.7199999999</v>
      </c>
      <c r="H42" s="1"/>
      <c r="I42" s="12">
        <f>I18+I33+I31</f>
        <v>651066.4600000005</v>
      </c>
    </row>
    <row r="43" ht="13.5" thickTop="1"/>
    <row r="44" spans="7:9" ht="12.75">
      <c r="G44" s="1"/>
      <c r="I44" s="1"/>
    </row>
    <row r="45" spans="4:11" ht="12.75">
      <c r="D45" t="s">
        <v>173</v>
      </c>
      <c r="G45" s="1"/>
      <c r="I45" s="1"/>
      <c r="K45" s="1"/>
    </row>
    <row r="49" spans="1:9" ht="12.75">
      <c r="A49" s="3"/>
      <c r="B49" s="3"/>
      <c r="C49" s="3"/>
      <c r="D49" s="3"/>
      <c r="F49" s="3"/>
      <c r="G49" s="3"/>
      <c r="H49" s="3"/>
      <c r="I49" s="3"/>
    </row>
    <row r="50" spans="1:6" ht="12.75">
      <c r="A50" t="s">
        <v>122</v>
      </c>
      <c r="F50" t="s">
        <v>165</v>
      </c>
    </row>
    <row r="51" spans="2:7" ht="12.75">
      <c r="B51" t="s">
        <v>112</v>
      </c>
      <c r="G51" t="s">
        <v>166</v>
      </c>
    </row>
    <row r="54" spans="4:7" ht="12.75">
      <c r="D54" s="3"/>
      <c r="E54" s="3"/>
      <c r="F54" s="3"/>
      <c r="G54" s="3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4">
      <selection activeCell="L36" sqref="L36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</cols>
  <sheetData>
    <row r="1" spans="9:11" ht="12.75">
      <c r="I1" s="2"/>
      <c r="J1" s="2"/>
      <c r="K1" s="2"/>
    </row>
    <row r="3" ht="12.75">
      <c r="A3" t="s">
        <v>105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41121</v>
      </c>
      <c r="I13" s="4"/>
      <c r="J13" s="8">
        <v>40908</v>
      </c>
    </row>
    <row r="14" ht="13.5" thickTop="1"/>
    <row r="15" spans="1:10" ht="12.75">
      <c r="A15" s="2" t="s">
        <v>57</v>
      </c>
      <c r="H15" s="11">
        <f>H17+H18+H20+H22+H23+H24+H25</f>
        <v>1779072.77</v>
      </c>
      <c r="J15" s="11">
        <f>J17+J18+J20+J22+J23+J24+J25</f>
        <v>2763914.62</v>
      </c>
    </row>
    <row r="17" spans="1:10" ht="12.75">
      <c r="A17" t="s">
        <v>87</v>
      </c>
      <c r="G17" s="5"/>
      <c r="H17" s="1">
        <f>resultado!H15</f>
        <v>1075890.1</v>
      </c>
      <c r="I17" s="1"/>
      <c r="J17" s="1">
        <f>resultado!J15</f>
        <v>1826066.6</v>
      </c>
    </row>
    <row r="18" spans="1:10" ht="12.75">
      <c r="A18" t="s">
        <v>88</v>
      </c>
      <c r="G18" s="5"/>
      <c r="H18" s="1">
        <f>resultado!H16</f>
        <v>460334.98</v>
      </c>
      <c r="I18" s="1"/>
      <c r="J18" s="1">
        <f>resultado!J16</f>
        <v>721485.1</v>
      </c>
    </row>
    <row r="19" spans="7:10" ht="12.75" hidden="1">
      <c r="G19" s="5"/>
      <c r="H19" s="1">
        <f>resultado!H17</f>
        <v>0</v>
      </c>
      <c r="I19" s="1"/>
      <c r="J19" s="1">
        <f>resultado!J17</f>
        <v>0</v>
      </c>
    </row>
    <row r="20" spans="1:10" ht="12.75">
      <c r="A20" t="s">
        <v>89</v>
      </c>
      <c r="G20" s="5"/>
      <c r="H20" s="1">
        <f>resultado!H18</f>
        <v>0</v>
      </c>
      <c r="I20" s="1"/>
      <c r="J20" s="1">
        <f>resultado!J18</f>
        <v>28645</v>
      </c>
    </row>
    <row r="21" spans="7:10" ht="12.75" hidden="1">
      <c r="G21" s="5"/>
      <c r="H21" s="1">
        <f>resultado!H19</f>
        <v>0</v>
      </c>
      <c r="I21" s="1"/>
      <c r="J21" s="1">
        <f>resultado!J19</f>
        <v>0</v>
      </c>
    </row>
    <row r="22" spans="1:10" ht="12.75">
      <c r="A22" t="s">
        <v>126</v>
      </c>
      <c r="G22" s="5"/>
      <c r="H22" s="1">
        <f>resultado!H20</f>
        <v>43515</v>
      </c>
      <c r="I22" s="1"/>
      <c r="J22" s="1">
        <f>resultado!J20</f>
        <v>72483</v>
      </c>
    </row>
    <row r="23" spans="1:10" ht="12.75">
      <c r="A23" t="s">
        <v>90</v>
      </c>
      <c r="G23" s="5"/>
      <c r="H23" s="1">
        <f>resultado!H21</f>
        <v>21763.56</v>
      </c>
      <c r="I23" s="1"/>
      <c r="J23" s="1">
        <f>resultado!J21</f>
        <v>56034.88</v>
      </c>
    </row>
    <row r="24" spans="1:10" ht="12.75">
      <c r="A24" t="s">
        <v>18</v>
      </c>
      <c r="G24" s="5"/>
      <c r="H24" s="1">
        <f>resultado!H22</f>
        <v>10486.15</v>
      </c>
      <c r="I24" s="1"/>
      <c r="J24" s="1">
        <f>resultado!J22</f>
        <v>9200.04</v>
      </c>
    </row>
    <row r="25" spans="1:10" ht="12.75">
      <c r="A25" t="s">
        <v>124</v>
      </c>
      <c r="H25" s="1">
        <v>167082.98</v>
      </c>
      <c r="J25" s="1">
        <v>50000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892186.5499999999</v>
      </c>
      <c r="J27" s="11">
        <f>J29+J31</f>
        <v>1609165.42</v>
      </c>
    </row>
    <row r="28" ht="12.75">
      <c r="A28" s="2"/>
    </row>
    <row r="29" spans="1:10" ht="12.75">
      <c r="A29" t="s">
        <v>59</v>
      </c>
      <c r="H29" s="1">
        <v>386863.6</v>
      </c>
      <c r="J29" s="1">
        <v>538014.66</v>
      </c>
    </row>
    <row r="30" spans="8:10" ht="12.75" hidden="1">
      <c r="H30" s="1"/>
      <c r="J30" s="1"/>
    </row>
    <row r="31" spans="1:10" ht="12.75">
      <c r="A31" t="s">
        <v>60</v>
      </c>
      <c r="H31" s="1">
        <f>506733.72-777.56-633.21</f>
        <v>505322.94999999995</v>
      </c>
      <c r="J31" s="1">
        <v>1071150.76</v>
      </c>
    </row>
    <row r="32" ht="12.75">
      <c r="A32" t="s">
        <v>61</v>
      </c>
    </row>
    <row r="34" spans="1:10" ht="12.75">
      <c r="A34" s="2" t="s">
        <v>62</v>
      </c>
      <c r="H34" s="11">
        <f>H15-H27</f>
        <v>886886.2200000001</v>
      </c>
      <c r="I34" s="7"/>
      <c r="J34" s="11">
        <f>J15-J27</f>
        <v>1154749.2000000002</v>
      </c>
    </row>
    <row r="35" ht="12.75">
      <c r="I35" s="6"/>
    </row>
    <row r="36" spans="1:12" ht="12.75">
      <c r="A36" s="2" t="s">
        <v>63</v>
      </c>
      <c r="H36" s="11">
        <f>H38</f>
        <v>1192.69</v>
      </c>
      <c r="I36" s="6"/>
      <c r="J36" s="11">
        <f>J38</f>
        <v>119857.02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1192.69</v>
      </c>
      <c r="I38" s="6"/>
      <c r="J38" s="1">
        <f>resultado!J31</f>
        <v>119857.02</v>
      </c>
    </row>
    <row r="39" ht="12.75">
      <c r="I39" s="6"/>
    </row>
    <row r="40" spans="1:11" ht="13.5" thickBot="1">
      <c r="A40" s="2" t="s">
        <v>65</v>
      </c>
      <c r="H40" s="12">
        <f>H34+H36</f>
        <v>888078.91</v>
      </c>
      <c r="I40" s="7"/>
      <c r="J40" s="12">
        <f>J34+J36</f>
        <v>1274606.2200000002</v>
      </c>
      <c r="K40" s="7"/>
    </row>
    <row r="41" ht="13.5" thickTop="1"/>
    <row r="42" spans="1:11" ht="13.5" thickBot="1">
      <c r="A42" s="2" t="s">
        <v>66</v>
      </c>
      <c r="H42" s="12">
        <f>H44+H53+H60+H64</f>
        <v>888078.9099999999</v>
      </c>
      <c r="I42" s="7"/>
      <c r="J42" s="12">
        <f>J44+J53+J60+J64</f>
        <v>1274606.2200000004</v>
      </c>
      <c r="K42" s="1"/>
    </row>
    <row r="43" ht="13.5" thickTop="1"/>
    <row r="44" spans="1:11" ht="12.75">
      <c r="A44" t="s">
        <v>67</v>
      </c>
      <c r="H44" s="11">
        <f>H45+H50+H51</f>
        <v>759536.05</v>
      </c>
      <c r="J44" s="11">
        <f>J45+J50+J51</f>
        <v>1236937.1300000001</v>
      </c>
      <c r="K44" s="1"/>
    </row>
    <row r="45" spans="1:10" ht="12.75">
      <c r="A45" t="s">
        <v>68</v>
      </c>
      <c r="H45" s="1">
        <f>401091.31+2750</f>
        <v>403841.31</v>
      </c>
      <c r="J45" s="1">
        <v>659109.43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96</v>
      </c>
      <c r="H50" s="1">
        <v>257492.95</v>
      </c>
      <c r="J50" s="1">
        <v>429114.44</v>
      </c>
    </row>
    <row r="51" spans="1:10" ht="12.75">
      <c r="A51" t="s">
        <v>97</v>
      </c>
      <c r="H51" s="1">
        <f>96741.79+1460</f>
        <v>98201.79</v>
      </c>
      <c r="J51" s="1">
        <v>148713.26</v>
      </c>
    </row>
    <row r="52" ht="12.75">
      <c r="A52" t="s">
        <v>95</v>
      </c>
    </row>
    <row r="53" spans="1:10" ht="12.75">
      <c r="A53" t="s">
        <v>69</v>
      </c>
      <c r="H53" s="11">
        <f>H54+H56+H57+H55</f>
        <v>2516.12</v>
      </c>
      <c r="I53" s="7"/>
      <c r="J53" s="11">
        <f>J54+J56+J57+J55</f>
        <v>2507.8900000000003</v>
      </c>
    </row>
    <row r="54" ht="12.75" hidden="1"/>
    <row r="55" spans="1:10" ht="12.75">
      <c r="A55" t="s">
        <v>132</v>
      </c>
      <c r="H55" s="1">
        <v>2516.12</v>
      </c>
      <c r="J55" s="1">
        <f>506.23+155.29</f>
        <v>661.52</v>
      </c>
    </row>
    <row r="56" spans="1:10" ht="12.75">
      <c r="A56" t="s">
        <v>70</v>
      </c>
      <c r="H56" s="1">
        <v>0</v>
      </c>
      <c r="J56" s="1">
        <v>1761.45</v>
      </c>
    </row>
    <row r="57" spans="1:10" ht="12.75">
      <c r="A57" t="s">
        <v>131</v>
      </c>
      <c r="H57" s="1">
        <v>0</v>
      </c>
      <c r="J57" s="1">
        <v>84.92</v>
      </c>
    </row>
    <row r="58" ht="12.75" hidden="1"/>
    <row r="60" spans="1:10" ht="12.75">
      <c r="A60" t="s">
        <v>71</v>
      </c>
      <c r="H60" s="11">
        <f>H61+H62</f>
        <v>1602.13</v>
      </c>
      <c r="I60" s="7"/>
      <c r="J60" s="11">
        <f>J61+J62</f>
        <v>12033.71</v>
      </c>
    </row>
    <row r="61" spans="1:10" ht="12.75">
      <c r="A61" t="s">
        <v>72</v>
      </c>
      <c r="H61" s="1">
        <v>1602.13</v>
      </c>
      <c r="J61" s="1">
        <v>12033.71</v>
      </c>
    </row>
    <row r="63" ht="12.75" hidden="1"/>
    <row r="64" spans="1:10" ht="12.75">
      <c r="A64" t="s">
        <v>98</v>
      </c>
      <c r="H64" s="11">
        <f>resultado!H39</f>
        <v>124424.60999999984</v>
      </c>
      <c r="I64" s="7"/>
      <c r="J64" s="11">
        <f>resultado!J39</f>
        <v>23127.490000000464</v>
      </c>
    </row>
    <row r="66" spans="4:8" ht="12.75">
      <c r="D66" t="s">
        <v>180</v>
      </c>
      <c r="H66" s="1"/>
    </row>
    <row r="69" spans="1:9" ht="12.75">
      <c r="A69" s="3"/>
      <c r="B69" s="3"/>
      <c r="C69" s="3"/>
      <c r="D69" s="3"/>
      <c r="E69" s="6"/>
      <c r="F69" s="3"/>
      <c r="G69" s="3"/>
      <c r="H69" s="3"/>
      <c r="I69" s="3"/>
    </row>
    <row r="70" spans="1:6" ht="12.75">
      <c r="A70" t="s">
        <v>113</v>
      </c>
      <c r="F70" t="s">
        <v>165</v>
      </c>
    </row>
    <row r="71" spans="2:7" ht="12.75">
      <c r="B71" t="s">
        <v>114</v>
      </c>
      <c r="G71" t="s">
        <v>166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3"/>
      <c r="E75" s="3"/>
      <c r="F75" s="3"/>
      <c r="G75" s="3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47">
      <selection activeCell="D12" sqref="D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106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179</v>
      </c>
      <c r="E11" s="6"/>
      <c r="F11" s="18" t="s">
        <v>163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222318.10999999975</v>
      </c>
      <c r="E13" s="7"/>
      <c r="F13" s="11">
        <v>-12173.959999999497</v>
      </c>
    </row>
    <row r="14" spans="1:5" ht="12.75">
      <c r="A14" s="2"/>
      <c r="B14" s="6"/>
      <c r="C14" s="2"/>
      <c r="E14" s="6"/>
    </row>
    <row r="15" spans="1:6" ht="12.75">
      <c r="A15" s="2" t="s">
        <v>99</v>
      </c>
      <c r="B15" s="7"/>
      <c r="C15" s="2"/>
      <c r="D15" s="11">
        <f>D16+D19</f>
        <v>139899.57999999984</v>
      </c>
      <c r="E15" s="7"/>
      <c r="F15" s="11">
        <v>110865.37</v>
      </c>
    </row>
    <row r="16" spans="1:6" ht="12.75">
      <c r="A16" s="9" t="s">
        <v>101</v>
      </c>
      <c r="B16" s="19"/>
      <c r="C16" s="13"/>
      <c r="D16" s="19">
        <f>resultado!H39</f>
        <v>124424.60999999984</v>
      </c>
      <c r="E16" s="6"/>
      <c r="F16" s="19">
        <v>23127.490000000464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15474.97</v>
      </c>
      <c r="E19" s="7"/>
      <c r="F19" s="11">
        <v>87737.88</v>
      </c>
    </row>
    <row r="20" spans="1:6" ht="12.75">
      <c r="A20" s="9"/>
      <c r="B20" s="19"/>
      <c r="C20" s="9"/>
      <c r="D20" s="19"/>
      <c r="E20" s="7"/>
      <c r="F20" s="19"/>
    </row>
    <row r="21" spans="1:8" ht="12.75">
      <c r="A21" s="9"/>
      <c r="B21" s="19"/>
      <c r="C21" s="9" t="s">
        <v>125</v>
      </c>
      <c r="D21" s="19">
        <v>0</v>
      </c>
      <c r="E21" s="6"/>
      <c r="F21" s="19">
        <v>50000</v>
      </c>
      <c r="H21" s="1"/>
    </row>
    <row r="22" spans="1:8" ht="12.75">
      <c r="A22" s="9"/>
      <c r="B22" s="19"/>
      <c r="C22" s="9" t="s">
        <v>156</v>
      </c>
      <c r="D22" s="19">
        <f>ativo!G54-ativo!I54</f>
        <v>0</v>
      </c>
      <c r="E22" s="6"/>
      <c r="F22" s="19">
        <v>-24763.98</v>
      </c>
      <c r="H22" s="1"/>
    </row>
    <row r="23" spans="1:8" ht="12.75">
      <c r="A23" s="9"/>
      <c r="B23" s="19"/>
      <c r="C23" s="9" t="s">
        <v>157</v>
      </c>
      <c r="D23" s="19">
        <v>15474.97</v>
      </c>
      <c r="E23" s="6"/>
      <c r="F23" s="19">
        <v>62501.86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82418.52999999993</v>
      </c>
      <c r="E26" s="7"/>
      <c r="F26" s="11">
        <v>-123039.33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</f>
        <v>-43281.12000000001</v>
      </c>
      <c r="E28" s="7"/>
      <c r="F28" s="11">
        <v>-35008.1</v>
      </c>
      <c r="H28" s="1"/>
    </row>
    <row r="29" spans="1:11" ht="12.75">
      <c r="A29" s="9"/>
      <c r="B29" s="6"/>
      <c r="C29" s="9" t="s">
        <v>76</v>
      </c>
      <c r="D29" s="13">
        <f>ativo!I22-ativo!G22</f>
        <v>-1256.890000000014</v>
      </c>
      <c r="E29" s="2"/>
      <c r="F29" s="13">
        <v>-32262.39</v>
      </c>
      <c r="H29" s="1"/>
      <c r="I29" s="5"/>
      <c r="J29" s="5"/>
      <c r="K29" s="5"/>
    </row>
    <row r="30" spans="1:11" ht="12.75">
      <c r="A30" s="9"/>
      <c r="B30" s="6"/>
      <c r="C30" s="9" t="s">
        <v>100</v>
      </c>
      <c r="D30" s="13">
        <f>ativo!I24-ativo!G24</f>
        <v>-3386</v>
      </c>
      <c r="E30" s="2"/>
      <c r="F30" s="13">
        <v>4895.36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-18043.809999999998</v>
      </c>
      <c r="F31" s="1">
        <v>2749.55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1932.13</v>
      </c>
      <c r="E41" s="6"/>
      <c r="F41" s="19">
        <v>3602.66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171</v>
      </c>
      <c r="D43" s="19">
        <f>ativo!I32-ativo!G32</f>
        <v>-18464.65</v>
      </c>
      <c r="E43" s="6"/>
      <c r="F43" s="19">
        <v>0</v>
      </c>
    </row>
    <row r="44" spans="1:6" ht="12.75">
      <c r="A44" s="9"/>
      <c r="B44" s="6"/>
      <c r="C44" t="s">
        <v>153</v>
      </c>
      <c r="D44" s="19">
        <f>ativo!I33-ativo!G33</f>
        <v>66.1</v>
      </c>
      <c r="E44" s="6"/>
      <c r="F44" s="19">
        <v>-13993.28</v>
      </c>
    </row>
    <row r="45" spans="1:6" ht="12.75">
      <c r="A45" s="9"/>
      <c r="B45" s="6"/>
      <c r="C45" t="s">
        <v>128</v>
      </c>
      <c r="D45" s="19">
        <f>ativo!I36-ativo!G36</f>
        <v>-4128</v>
      </c>
      <c r="E45" s="6"/>
      <c r="F45" s="19">
        <v>0</v>
      </c>
    </row>
    <row r="46" spans="1:6" ht="12.75">
      <c r="A46" s="9"/>
      <c r="B46" s="6"/>
      <c r="C46" t="s">
        <v>130</v>
      </c>
      <c r="D46" s="19"/>
      <c r="E46" s="6"/>
      <c r="F46" s="19"/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</f>
        <v>125699.64999999994</v>
      </c>
      <c r="E50" s="7"/>
      <c r="F50" s="11">
        <v>-88031.23</v>
      </c>
    </row>
    <row r="51" spans="2:6" ht="12.75">
      <c r="B51" s="6"/>
      <c r="C51" t="s">
        <v>84</v>
      </c>
      <c r="D51" s="19">
        <f>passivo2!G21-passivo2!I21</f>
        <v>11409.399999999965</v>
      </c>
      <c r="E51" s="7"/>
      <c r="F51" s="19">
        <v>-54570.13</v>
      </c>
    </row>
    <row r="52" spans="2:6" ht="12.75">
      <c r="B52" s="6"/>
      <c r="C52" t="s">
        <v>12</v>
      </c>
      <c r="D52" s="19">
        <f>passivo2!G24-passivo2!I24</f>
        <v>52223.23999999999</v>
      </c>
      <c r="E52" s="7"/>
      <c r="F52" s="19">
        <v>-47163.61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155</v>
      </c>
      <c r="D55" s="1">
        <f>passivo2!G28-passivo2!I28</f>
        <v>73260.05</v>
      </c>
      <c r="E55" s="6"/>
      <c r="F55" s="1">
        <v>-58337.38</v>
      </c>
    </row>
    <row r="56" spans="2:6" ht="12.75">
      <c r="B56" s="6"/>
      <c r="C56" t="s">
        <v>30</v>
      </c>
      <c r="D56" s="5">
        <f>passivo2!G29-passivo2!I29</f>
        <v>-255.3800000000001</v>
      </c>
      <c r="E56" s="6"/>
      <c r="F56" s="5">
        <v>2229.62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-10937.660000000003</v>
      </c>
      <c r="E59" s="6"/>
      <c r="F59" s="19">
        <v>69810.27</v>
      </c>
    </row>
    <row r="60" spans="2:6" ht="12.75">
      <c r="B60" s="7"/>
      <c r="C60" s="2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148418.63</v>
      </c>
      <c r="E62" s="7"/>
      <c r="F62" s="11">
        <v>4252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f>ativo!G43-ativo!I43</f>
        <v>148418.63</v>
      </c>
      <c r="E69" s="6"/>
      <c r="F69" s="1">
        <v>4252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73899.47999999975</v>
      </c>
      <c r="E101" s="7"/>
      <c r="F101" s="12">
        <v>-16425.959999999497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24816.14</v>
      </c>
      <c r="E106" s="6"/>
      <c r="F106" s="1">
        <v>41242.1</v>
      </c>
      <c r="H106" s="1"/>
    </row>
    <row r="107" spans="1:5" ht="12.75">
      <c r="A107" s="2"/>
      <c r="B107" s="6"/>
      <c r="C107" s="2"/>
      <c r="E107" s="6"/>
    </row>
    <row r="108" spans="1:6" ht="12.75">
      <c r="A108" s="9" t="s">
        <v>52</v>
      </c>
      <c r="B108" s="7"/>
      <c r="C108" s="9"/>
      <c r="D108" s="21">
        <f>ativo!G16</f>
        <v>98715.62000000001</v>
      </c>
      <c r="E108" s="6"/>
      <c r="F108" s="21">
        <f>ativo!I16</f>
        <v>24816.14</v>
      </c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73899.48000000001</v>
      </c>
      <c r="E110" s="7"/>
      <c r="F110" s="12">
        <f>F108-F106</f>
        <v>-16425.96</v>
      </c>
      <c r="G110" s="1"/>
    </row>
    <row r="111" ht="13.5" thickTop="1">
      <c r="E111" s="6"/>
    </row>
    <row r="112" spans="3:6" ht="12.75">
      <c r="C112" t="s">
        <v>177</v>
      </c>
      <c r="D112" s="1"/>
      <c r="E112" s="6"/>
      <c r="F112" s="1"/>
    </row>
    <row r="113" ht="12.75">
      <c r="E113" s="6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109</v>
      </c>
      <c r="D116" t="s">
        <v>169</v>
      </c>
    </row>
    <row r="117" spans="1:4" ht="12.75">
      <c r="A117" t="s">
        <v>115</v>
      </c>
      <c r="D117" t="s">
        <v>170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119</v>
      </c>
      <c r="D123" s="6"/>
      <c r="E123" s="6"/>
      <c r="F123" s="6"/>
      <c r="G123" s="6"/>
    </row>
    <row r="124" ht="12.75">
      <c r="C124" t="s">
        <v>120</v>
      </c>
    </row>
    <row r="125" ht="12.75">
      <c r="C125" t="s">
        <v>121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6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107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175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151</v>
      </c>
      <c r="B19" s="38">
        <v>266129.88</v>
      </c>
      <c r="C19" s="39"/>
      <c r="D19" s="35">
        <v>2448.63</v>
      </c>
      <c r="E19" s="35">
        <f>B19+D19</f>
        <v>268578.51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164</v>
      </c>
      <c r="B21" s="19">
        <v>2448.63</v>
      </c>
      <c r="C21" s="7"/>
      <c r="D21" s="42">
        <v>-2448.63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103</v>
      </c>
      <c r="B23" s="7"/>
      <c r="C23" s="7"/>
      <c r="D23" s="42">
        <f>resultado!J39</f>
        <v>23127.490000000464</v>
      </c>
      <c r="E23" s="42">
        <f>D23</f>
        <v>23127.490000000464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158</v>
      </c>
      <c r="B25" s="40">
        <f>B19+B21</f>
        <v>268578.51</v>
      </c>
      <c r="C25" s="40" t="e">
        <f>C19+#REF!+C23+C21</f>
        <v>#REF!</v>
      </c>
      <c r="D25" s="35">
        <f>D19+D21+D23</f>
        <v>23127.490000000464</v>
      </c>
      <c r="E25" s="35">
        <f>E19+E21+E23</f>
        <v>291706.00000000047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164</v>
      </c>
      <c r="B27" s="19">
        <v>23127.49</v>
      </c>
      <c r="C27" s="19"/>
      <c r="D27" s="42">
        <v>-23127.49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103</v>
      </c>
      <c r="B29" s="7"/>
      <c r="C29" s="7"/>
      <c r="D29" s="42">
        <f>resultado!H39</f>
        <v>124424.60999999984</v>
      </c>
      <c r="E29" s="42">
        <f>D29</f>
        <v>124424.60999999984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6" ht="12.75">
      <c r="A31" s="34" t="s">
        <v>174</v>
      </c>
      <c r="B31" s="35">
        <f>B25+B29+B27</f>
        <v>291706</v>
      </c>
      <c r="C31" s="40" t="e">
        <f>C25+C29+C27</f>
        <v>#REF!</v>
      </c>
      <c r="D31" s="35">
        <f>D25+D29+D27</f>
        <v>124424.61000000029</v>
      </c>
      <c r="E31" s="35">
        <f>E25+E29+E27</f>
        <v>416130.61000000034</v>
      </c>
      <c r="F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176</v>
      </c>
    </row>
    <row r="35" ht="12.75">
      <c r="E35" s="1"/>
    </row>
    <row r="37" spans="1:6" ht="12.75">
      <c r="A37" s="3"/>
      <c r="D37" s="3"/>
      <c r="E37" s="3"/>
      <c r="F37" s="3"/>
    </row>
    <row r="38" spans="1:4" ht="12.75">
      <c r="A38" t="s">
        <v>109</v>
      </c>
      <c r="D38" t="s">
        <v>167</v>
      </c>
    </row>
    <row r="39" spans="1:4" ht="12.75">
      <c r="A39" t="s">
        <v>118</v>
      </c>
      <c r="D39" t="s">
        <v>168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104</v>
      </c>
    </row>
    <row r="46" spans="1:5" ht="12.75">
      <c r="A46" t="s">
        <v>116</v>
      </c>
      <c r="E46" s="1"/>
    </row>
    <row r="47" ht="12.75">
      <c r="A47" t="s">
        <v>117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4" ht="12.75">
      <c r="C2">
        <v>2010</v>
      </c>
      <c r="D2">
        <v>2011</v>
      </c>
    </row>
    <row r="4" spans="1:4" ht="12.75">
      <c r="A4" t="s">
        <v>134</v>
      </c>
      <c r="B4" s="1">
        <f>B5+B6+B7+B8+B9+B10</f>
        <v>39119.08</v>
      </c>
      <c r="C4" s="1">
        <f>C5+C6+C7+C8+C9+C10</f>
        <v>2842.333</v>
      </c>
      <c r="D4" s="1">
        <f>D5+D6+D7+D8+D9+D10</f>
        <v>3710.3679999999995</v>
      </c>
    </row>
    <row r="5" spans="1:4" ht="12.75">
      <c r="A5" t="s">
        <v>135</v>
      </c>
      <c r="B5" s="1">
        <v>4240.08</v>
      </c>
      <c r="C5" s="1">
        <f>B5*10%</f>
        <v>424.00800000000004</v>
      </c>
      <c r="D5" s="1">
        <f>B5*10%</f>
        <v>424.00800000000004</v>
      </c>
    </row>
    <row r="6" spans="1:4" ht="12.75">
      <c r="A6" t="s">
        <v>136</v>
      </c>
      <c r="B6" s="1">
        <v>800</v>
      </c>
      <c r="C6" s="1">
        <f>(((B6*10%)/12)/30)*11+((B6*10%)/12)*11</f>
        <v>75.77777777777779</v>
      </c>
      <c r="D6" s="1">
        <f>B6*10%</f>
        <v>80</v>
      </c>
    </row>
    <row r="7" spans="1:4" ht="12.75">
      <c r="A7" t="s">
        <v>137</v>
      </c>
      <c r="B7" s="1">
        <v>4430</v>
      </c>
      <c r="C7" s="1">
        <f>(((B7*10%)/12)/30)*19+((B7*10%)/12)*10</f>
        <v>392.54722222222216</v>
      </c>
      <c r="D7" s="1">
        <f>B7*10%</f>
        <v>443</v>
      </c>
    </row>
    <row r="8" spans="1:4" ht="12.75">
      <c r="A8" t="s">
        <v>138</v>
      </c>
      <c r="B8" s="1">
        <v>26000</v>
      </c>
      <c r="C8" s="1">
        <f>(((B8*10%)/12)/30)*0+((B8*10%)/12)*9</f>
        <v>1950</v>
      </c>
      <c r="D8" s="1">
        <f>B8*10%</f>
        <v>2600</v>
      </c>
    </row>
    <row r="9" spans="1:4" ht="12.75">
      <c r="A9" t="s">
        <v>159</v>
      </c>
      <c r="B9" s="1">
        <v>1950</v>
      </c>
      <c r="C9" s="1"/>
      <c r="D9" s="1">
        <f>((B9*10%)/12)*8+(16.25/30)*25</f>
        <v>143.54166666666666</v>
      </c>
    </row>
    <row r="10" spans="1:4" ht="12.75">
      <c r="A10" t="s">
        <v>160</v>
      </c>
      <c r="B10" s="1">
        <v>1699</v>
      </c>
      <c r="C10" s="1"/>
      <c r="D10" s="1">
        <f>(B10*10%)/12+(14.15/30)*12</f>
        <v>19.818333333333335</v>
      </c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1:4" ht="12.75">
      <c r="A13" t="s">
        <v>139</v>
      </c>
      <c r="B13" s="1">
        <f>B14+B15+B16+B17+B18+B19+B20</f>
        <v>113229.22</v>
      </c>
      <c r="C13" s="1">
        <f>C14+C15+C16+C17+C18+C19+C20</f>
        <v>9367.677227777778</v>
      </c>
      <c r="D13" s="1">
        <f>D14+D15+D16+D17+D18+D19+D20</f>
        <v>11322.922</v>
      </c>
    </row>
    <row r="14" spans="1:4" ht="12.75">
      <c r="A14" t="s">
        <v>140</v>
      </c>
      <c r="B14" s="1">
        <v>39659.22</v>
      </c>
      <c r="C14" s="1">
        <f>(((B14*10%)/12)/30)*11+((B14*10%)/12)*11</f>
        <v>3756.6094500000004</v>
      </c>
      <c r="D14" s="1">
        <f>B14*10%</f>
        <v>3965.9220000000005</v>
      </c>
    </row>
    <row r="15" spans="1:4" ht="12.75">
      <c r="A15" t="s">
        <v>141</v>
      </c>
      <c r="B15" s="1">
        <v>34800</v>
      </c>
      <c r="C15" s="1">
        <f>(((B15*10%)/12)/30)*16+((B15*10%)/12)*11</f>
        <v>3344.6666666666665</v>
      </c>
      <c r="D15" s="1">
        <f aca="true" t="shared" si="0" ref="D15:D20">B15*10%</f>
        <v>3480</v>
      </c>
    </row>
    <row r="16" spans="1:4" ht="12.75">
      <c r="A16" t="s">
        <v>142</v>
      </c>
      <c r="B16" s="1">
        <v>20400</v>
      </c>
      <c r="C16" s="1">
        <f>(((B16*10%)/12)/30)*4+((B16*10%)/12)*9</f>
        <v>1552.6666666666667</v>
      </c>
      <c r="D16" s="1">
        <f t="shared" si="0"/>
        <v>2040</v>
      </c>
    </row>
    <row r="17" spans="1:4" ht="12.75">
      <c r="A17" t="s">
        <v>143</v>
      </c>
      <c r="B17" s="1">
        <v>2968</v>
      </c>
      <c r="C17" s="1">
        <f>(((B17*10%)/12)/30)*4+((B17*10%)/12)*8</f>
        <v>201.16444444444446</v>
      </c>
      <c r="D17" s="1">
        <f t="shared" si="0"/>
        <v>296.8</v>
      </c>
    </row>
    <row r="18" spans="1:4" ht="12.75">
      <c r="A18" t="s">
        <v>144</v>
      </c>
      <c r="B18" s="1">
        <v>2382</v>
      </c>
      <c r="C18" s="1">
        <f>(((B18*10%)/12)/30)*26+((B18*10%)/12)*7</f>
        <v>156.15333333333336</v>
      </c>
      <c r="D18" s="1">
        <f t="shared" si="0"/>
        <v>238.20000000000002</v>
      </c>
    </row>
    <row r="19" spans="1:4" ht="12.75">
      <c r="A19" t="s">
        <v>145</v>
      </c>
      <c r="B19" s="1">
        <v>12600</v>
      </c>
      <c r="C19" s="1">
        <f>(((B19*10%)/12)/30)*10+((B19*10%)/12)*3</f>
        <v>350</v>
      </c>
      <c r="D19" s="1">
        <f t="shared" si="0"/>
        <v>1260</v>
      </c>
    </row>
    <row r="20" spans="1:4" ht="12.75">
      <c r="A20" t="s">
        <v>146</v>
      </c>
      <c r="B20" s="1">
        <v>420</v>
      </c>
      <c r="C20" s="1">
        <f>(((B20*10%)/12)/30)*25+((B20*10%)/12)*1</f>
        <v>6.416666666666666</v>
      </c>
      <c r="D20" s="1">
        <f t="shared" si="0"/>
        <v>42</v>
      </c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1:4" ht="12.75">
      <c r="A23" t="s">
        <v>147</v>
      </c>
      <c r="B23" s="1">
        <f>B24</f>
        <v>45000</v>
      </c>
      <c r="C23" s="1">
        <f>C24</f>
        <v>9000</v>
      </c>
      <c r="D23" s="1">
        <f>D24</f>
        <v>9000</v>
      </c>
    </row>
    <row r="24" spans="1:4" ht="12.75">
      <c r="A24" t="s">
        <v>140</v>
      </c>
      <c r="B24" s="1">
        <v>45000</v>
      </c>
      <c r="C24" s="1">
        <f>(((B24*20%)/12)/30)*0+((B24*20%)/12)*12</f>
        <v>9000</v>
      </c>
      <c r="D24" s="1">
        <f>B24*20%</f>
        <v>9000</v>
      </c>
    </row>
    <row r="25" spans="3:4" ht="12.75">
      <c r="C25" s="1"/>
      <c r="D25" s="1"/>
    </row>
    <row r="26" spans="1:4" ht="12.75">
      <c r="A26" t="s">
        <v>148</v>
      </c>
      <c r="B26" s="1">
        <f>B27+B28+B29+B30</f>
        <v>3769</v>
      </c>
      <c r="C26" s="1">
        <f>C27+C28+C29+C30</f>
        <v>360.21000000000004</v>
      </c>
      <c r="D26" s="1">
        <f>D27+D28+D29+D30</f>
        <v>730.6850000000001</v>
      </c>
    </row>
    <row r="27" spans="1:4" ht="12.75">
      <c r="A27" t="s">
        <v>135</v>
      </c>
      <c r="B27" s="1">
        <v>1378</v>
      </c>
      <c r="C27" s="1">
        <f>(((B27*20%)/12)/30)*0+((B27*20%)/12)*12</f>
        <v>275.6</v>
      </c>
      <c r="D27" s="1">
        <f>B27*20%</f>
        <v>275.6</v>
      </c>
    </row>
    <row r="28" spans="1:4" ht="12.75">
      <c r="A28" t="s">
        <v>149</v>
      </c>
      <c r="B28" s="1">
        <v>900</v>
      </c>
      <c r="C28" s="1">
        <f>(((B28*10%)/12)/30)*13+((B28*10%)/12)*7</f>
        <v>55.75</v>
      </c>
      <c r="D28" s="1">
        <f>B28*20%</f>
        <v>180</v>
      </c>
    </row>
    <row r="29" spans="1:4" ht="12.75">
      <c r="A29" t="s">
        <v>150</v>
      </c>
      <c r="B29" s="1">
        <v>888</v>
      </c>
      <c r="C29" s="1">
        <f>(((B29*10%)/12)/30)*27+((B29*10%)/12)*3</f>
        <v>28.860000000000003</v>
      </c>
      <c r="D29" s="1">
        <f>B29*20%</f>
        <v>177.60000000000002</v>
      </c>
    </row>
    <row r="30" spans="1:4" ht="12.75">
      <c r="A30" t="s">
        <v>161</v>
      </c>
      <c r="B30" s="1">
        <v>603</v>
      </c>
      <c r="C30" s="1"/>
      <c r="D30" s="1">
        <f>((B30*20%)/12)*9+(10.05/30)*21</f>
        <v>97.485</v>
      </c>
    </row>
    <row r="31" spans="2:3" ht="12.75">
      <c r="B31" s="1"/>
      <c r="C31" s="1"/>
    </row>
    <row r="32" spans="2:3" ht="12.75">
      <c r="B32" s="1"/>
      <c r="C32" s="1"/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4">
      <selection activeCell="D43" sqref="D43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</cols>
  <sheetData>
    <row r="1" ht="12.75">
      <c r="J1" s="2"/>
    </row>
    <row r="3" ht="12.75">
      <c r="A3" t="s">
        <v>108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41121</v>
      </c>
      <c r="J11" s="8">
        <v>40908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1611989.79</v>
      </c>
      <c r="I13" s="10"/>
      <c r="J13" s="11">
        <f>J15+J16+J18+J20+J21+J22</f>
        <v>2713914.62</v>
      </c>
    </row>
    <row r="14" spans="7:10" ht="12.75">
      <c r="G14" s="5"/>
      <c r="H14" s="1"/>
      <c r="J14" s="1"/>
    </row>
    <row r="15" spans="1:10" ht="12.75">
      <c r="A15" t="s">
        <v>87</v>
      </c>
      <c r="G15" s="5"/>
      <c r="H15" s="1">
        <v>1075890.1</v>
      </c>
      <c r="J15" s="1">
        <f>1826066.6</f>
        <v>1826066.6</v>
      </c>
    </row>
    <row r="16" spans="1:10" ht="12.75">
      <c r="A16" t="s">
        <v>88</v>
      </c>
      <c r="G16" s="5"/>
      <c r="H16" s="1">
        <f>406539.13+53795.85</f>
        <v>460334.98</v>
      </c>
      <c r="J16" s="1">
        <f>659136.21+62348.89</f>
        <v>721485.1</v>
      </c>
    </row>
    <row r="17" spans="7:10" ht="12.75" hidden="1">
      <c r="G17" s="5"/>
      <c r="H17" s="1"/>
      <c r="J17" s="1"/>
    </row>
    <row r="18" spans="1:10" ht="12.75">
      <c r="A18" t="s">
        <v>89</v>
      </c>
      <c r="G18" s="5"/>
      <c r="H18" s="1">
        <v>0</v>
      </c>
      <c r="J18" s="1">
        <v>28645</v>
      </c>
    </row>
    <row r="19" spans="7:10" ht="12.75" hidden="1">
      <c r="G19" s="5"/>
      <c r="H19" s="1"/>
      <c r="J19" s="1"/>
    </row>
    <row r="20" spans="1:10" ht="12.75">
      <c r="A20" t="s">
        <v>126</v>
      </c>
      <c r="G20" s="5"/>
      <c r="H20" s="1">
        <v>43515</v>
      </c>
      <c r="J20" s="1">
        <v>72483</v>
      </c>
    </row>
    <row r="21" spans="1:10" ht="12.75">
      <c r="A21" t="s">
        <v>90</v>
      </c>
      <c r="G21" s="5"/>
      <c r="H21" s="1">
        <v>21763.56</v>
      </c>
      <c r="J21" s="1">
        <v>56034.88</v>
      </c>
    </row>
    <row r="22" spans="1:10" ht="12.75">
      <c r="A22" t="s">
        <v>18</v>
      </c>
      <c r="G22" s="5"/>
      <c r="H22" s="1">
        <f>7661.15+260+65+2500</f>
        <v>10486.15</v>
      </c>
      <c r="J22" s="1">
        <f>1100.04+570+1160+6255+115</f>
        <v>9200.04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-1655425.7200000002</v>
      </c>
      <c r="I24" s="10"/>
      <c r="J24" s="11">
        <f>J26+J27+J28+J29+J30+J31</f>
        <v>-2736148.3699999996</v>
      </c>
    </row>
    <row r="25" spans="7:10" ht="12.75">
      <c r="G25" s="5"/>
      <c r="H25" s="1"/>
      <c r="J25" s="1"/>
    </row>
    <row r="26" spans="1:10" ht="12.75">
      <c r="A26" t="s">
        <v>91</v>
      </c>
      <c r="G26" s="5"/>
      <c r="H26" s="1">
        <v>-495700.03</v>
      </c>
      <c r="J26" s="1">
        <f>-1049989.29</f>
        <v>-1049989.29</v>
      </c>
    </row>
    <row r="27" spans="1:10" ht="12.75">
      <c r="A27" t="s">
        <v>16</v>
      </c>
      <c r="G27" s="5"/>
      <c r="H27" s="1">
        <v>-100544.96</v>
      </c>
      <c r="J27" s="1">
        <v>-192626.07</v>
      </c>
    </row>
    <row r="28" spans="1:10" ht="12.75">
      <c r="A28" t="s">
        <v>92</v>
      </c>
      <c r="G28" s="5"/>
      <c r="H28" s="1">
        <v>-755895.4</v>
      </c>
      <c r="J28" s="1">
        <f>-1096598.56</f>
        <v>-1096598.56</v>
      </c>
    </row>
    <row r="29" spans="1:10" ht="12.75">
      <c r="A29" t="s">
        <v>93</v>
      </c>
      <c r="G29" s="5"/>
      <c r="H29" s="1">
        <v>-271029.97</v>
      </c>
      <c r="J29" s="1">
        <v>-443929.17</v>
      </c>
    </row>
    <row r="30" spans="1:10" ht="12.75">
      <c r="A30" t="s">
        <v>94</v>
      </c>
      <c r="G30" s="5"/>
      <c r="H30" s="1">
        <v>-33448.05</v>
      </c>
      <c r="J30" s="1">
        <v>-72862.3</v>
      </c>
    </row>
    <row r="31" spans="1:10" ht="12.75">
      <c r="A31" t="s">
        <v>27</v>
      </c>
      <c r="G31" s="5"/>
      <c r="H31" s="1">
        <v>1192.69</v>
      </c>
      <c r="J31" s="1">
        <v>119857.02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-43435.93000000017</v>
      </c>
      <c r="I34" s="10"/>
      <c r="J34" s="11">
        <f>J13+J24</f>
        <v>-22233.749999999534</v>
      </c>
    </row>
    <row r="35" spans="7:10" ht="12.75">
      <c r="G35" s="5"/>
      <c r="H35" s="1"/>
      <c r="J35" s="1"/>
    </row>
    <row r="36" spans="1:10" ht="12.75">
      <c r="A36" t="s">
        <v>123</v>
      </c>
      <c r="G36" s="5"/>
      <c r="H36" s="1">
        <v>167860.54</v>
      </c>
      <c r="J36" s="1">
        <v>50000</v>
      </c>
    </row>
    <row r="37" spans="1:10" ht="12.75">
      <c r="A37" t="s">
        <v>133</v>
      </c>
      <c r="G37" s="5"/>
      <c r="H37" s="1">
        <v>0</v>
      </c>
      <c r="J37" s="1">
        <v>-4638.76</v>
      </c>
    </row>
    <row r="38" spans="7:10" ht="12.75">
      <c r="G38" s="5"/>
      <c r="H38" s="1"/>
      <c r="J38" s="1"/>
    </row>
    <row r="39" spans="1:10" ht="13.5" thickBot="1">
      <c r="A39" s="2" t="s">
        <v>102</v>
      </c>
      <c r="B39" s="2"/>
      <c r="C39" s="2"/>
      <c r="D39" s="2"/>
      <c r="E39" s="2"/>
      <c r="F39" s="2"/>
      <c r="G39" s="7"/>
      <c r="H39" s="12">
        <f>H34+H36+H37+H38</f>
        <v>124424.60999999984</v>
      </c>
      <c r="I39" s="10"/>
      <c r="J39" s="12">
        <f>J34+J36+J37+J38</f>
        <v>23127.490000000464</v>
      </c>
    </row>
    <row r="40" ht="13.5" thickTop="1"/>
    <row r="42" ht="12.75">
      <c r="D42" t="s">
        <v>173</v>
      </c>
    </row>
    <row r="46" spans="1:11" ht="12.75">
      <c r="A46" s="3"/>
      <c r="B46" s="3"/>
      <c r="C46" s="3"/>
      <c r="D46" s="3"/>
      <c r="E46" s="3"/>
      <c r="F46" s="6"/>
      <c r="G46" s="3"/>
      <c r="H46" s="3"/>
      <c r="I46" s="3"/>
      <c r="J46" s="3"/>
      <c r="K46" s="3"/>
    </row>
    <row r="47" spans="1:7" ht="12.75">
      <c r="A47" t="s">
        <v>109</v>
      </c>
      <c r="F47" s="6"/>
      <c r="G47" t="s">
        <v>165</v>
      </c>
    </row>
    <row r="48" spans="1:8" ht="12.75">
      <c r="A48" t="s">
        <v>118</v>
      </c>
      <c r="H48" t="s">
        <v>166</v>
      </c>
    </row>
    <row r="50" ht="12.75" hidden="1"/>
    <row r="52" spans="3:8" ht="12.75">
      <c r="C52" s="3"/>
      <c r="D52" s="3"/>
      <c r="E52" s="3"/>
      <c r="F52" s="3"/>
      <c r="G52" s="3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2012-09-10T16:43:55Z</cp:lastPrinted>
  <dcterms:created xsi:type="dcterms:W3CDTF">1999-02-04T01:52:30Z</dcterms:created>
  <dcterms:modified xsi:type="dcterms:W3CDTF">2012-09-28T16:11:08Z</dcterms:modified>
  <cp:category/>
  <cp:version/>
  <cp:contentType/>
  <cp:contentStatus/>
</cp:coreProperties>
</file>