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3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depreciação" sheetId="6" r:id="rId6"/>
    <sheet name="resultado" sheetId="7" r:id="rId7"/>
  </sheets>
  <definedNames/>
  <calcPr fullCalcOnLoad="1"/>
</workbook>
</file>

<file path=xl/sharedStrings.xml><?xml version="1.0" encoding="utf-8"?>
<sst xmlns="http://schemas.openxmlformats.org/spreadsheetml/2006/main" count="230" uniqueCount="176">
  <si>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</si>
  <si>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</si>
  <si>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</si>
  <si>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</si>
  <si>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</si>
  <si>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</si>
  <si>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</si>
  <si>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</si>
  <si>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</si>
  <si>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</si>
  <si>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</si>
  <si>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</si>
  <si>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</si>
  <si>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</si>
  <si>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</si>
  <si>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</si>
  <si>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</si>
  <si>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</si>
  <si>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</si>
  <si>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</si>
  <si>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</si>
  <si>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</si>
  <si>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</si>
  <si>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</si>
  <si>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</si>
  <si>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</si>
  <si>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</si>
  <si>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</si>
  <si>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</si>
  <si>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</si>
  <si>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</si>
  <si>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</si>
  <si>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</si>
  <si>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</si>
  <si>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</si>
  <si>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</si>
  <si>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</si>
  <si>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</si>
  <si>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</si>
  <si>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</si>
  <si>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</si>
  <si>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</si>
  <si>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</si>
  <si>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</si>
  <si>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</si>
  <si>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</si>
  <si>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</si>
  <si>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</si>
  <si>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</si>
  <si>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</si>
  <si>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</si>
  <si>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</si>
  <si>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</si>
  <si>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</si>
  <si>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</si>
  <si>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</si>
  <si>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</si>
  <si>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</si>
  <si>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</si>
  <si>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</si>
  <si>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</si>
  <si>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</si>
  <si>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</si>
  <si>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</si>
  <si>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</si>
  <si>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</si>
  <si>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</si>
  <si>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</si>
  <si>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</si>
  <si>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</si>
  <si>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</si>
  <si>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</si>
  <si>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</si>
  <si>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</si>
  <si>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</si>
  <si>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</si>
  <si>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</si>
  <si>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</si>
  <si>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</si>
  <si>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</si>
  <si>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</si>
  <si>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</si>
  <si>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</si>
  <si>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</si>
  <si>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</si>
  <si>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</si>
  <si>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Superávit do Exercício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</si>
  <si>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</si>
  <si>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</si>
  <si>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</si>
  <si>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</si>
  <si>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</si>
  <si>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</si>
  <si>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</si>
  <si>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</si>
  <si>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</si>
  <si>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</si>
  <si>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</si>
  <si>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   Superávit do Exercício</t>
  </si>
  <si>
    <t xml:space="preserve">  Superávit Ajustado</t>
  </si>
  <si>
    <t xml:space="preserve">    Cheques a Receber</t>
  </si>
  <si>
    <t xml:space="preserve">      Superávit do Exercício</t>
  </si>
  <si>
    <t>SUPERÁVIT DO EXERCÍCIO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</si>
  <si>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</si>
  <si>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</si>
  <si>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</si>
  <si>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</si>
  <si>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</si>
  <si>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</si>
  <si>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ISAN ELÁDIO SILVA GUIMARÃES</t>
  </si>
  <si>
    <t xml:space="preserve">      ISAN ELÁDIO SILVA GUIMARÃES</t>
  </si>
  <si>
    <t>Presidente</t>
  </si>
  <si>
    <t xml:space="preserve">   Presidente</t>
  </si>
  <si>
    <t xml:space="preserve">       ISAN ELÁDIO SILVA GUIMARÃES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</si>
  <si>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</si>
  <si>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</si>
  <si>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</si>
  <si>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</si>
  <si>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</si>
  <si>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</si>
  <si>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</si>
  <si>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</si>
  <si>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  ISAN ELÁDIO SILVA GUIMARÃES</t>
  </si>
  <si>
    <t xml:space="preserve">    Receitas Não Operacionais</t>
  </si>
  <si>
    <t xml:space="preserve">   Doações</t>
  </si>
  <si>
    <t>Doações</t>
  </si>
  <si>
    <t xml:space="preserve">   Mensalidades das Escolinhas</t>
  </si>
  <si>
    <t xml:space="preserve">      Obras em Andamento</t>
  </si>
  <si>
    <t xml:space="preserve">      Veículos</t>
  </si>
  <si>
    <t xml:space="preserve">    </t>
  </si>
  <si>
    <t xml:space="preserve">          Federais</t>
  </si>
  <si>
    <t xml:space="preserve">          Municipais</t>
  </si>
  <si>
    <t xml:space="preserve">    Despesas Não Operacionais</t>
  </si>
  <si>
    <t>Maquinas e Equipamentos</t>
  </si>
  <si>
    <t>Saldo de 31.12.2009</t>
  </si>
  <si>
    <t>19.01.2010</t>
  </si>
  <si>
    <t>09.02.2010</t>
  </si>
  <si>
    <t>31.03.2010</t>
  </si>
  <si>
    <t>MÓVEIS E UTENSILIOS</t>
  </si>
  <si>
    <t>Saldo em 31.12.2009</t>
  </si>
  <si>
    <t>15.01.2010</t>
  </si>
  <si>
    <t>27.03.2010</t>
  </si>
  <si>
    <t>26.04.2010</t>
  </si>
  <si>
    <t>05.05.2010</t>
  </si>
  <si>
    <t>21.08.2010</t>
  </si>
  <si>
    <t>05.11.2010</t>
  </si>
  <si>
    <t>VEICULOS</t>
  </si>
  <si>
    <t>EQUIPAMENTOS DE INFORMÁTICA</t>
  </si>
  <si>
    <t>18.05.2010</t>
  </si>
  <si>
    <t>03.09.2010</t>
  </si>
  <si>
    <t>Saldo em 31 de Dezembro de 2010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</si>
  <si>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</si>
  <si>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</si>
  <si>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</si>
  <si>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</si>
  <si>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</si>
  <si>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</si>
  <si>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</si>
  <si>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>05.04.2011</t>
  </si>
  <si>
    <t>18.11.2011</t>
  </si>
  <si>
    <t>09.03.2011</t>
  </si>
  <si>
    <t xml:space="preserve">      Instalações</t>
  </si>
  <si>
    <t>31/12/2011</t>
  </si>
  <si>
    <t>Transferência para capital</t>
  </si>
  <si>
    <t>MARCOS CLEISON LEMOS DOS REIS</t>
  </si>
  <si>
    <t xml:space="preserve">         Diretor Adm/Financeiro</t>
  </si>
  <si>
    <t>Belém, 31 de Março de 2012.</t>
  </si>
  <si>
    <t xml:space="preserve">    Depósito Judicial</t>
  </si>
  <si>
    <t>Belém, 31 de Março  de 2012.</t>
  </si>
  <si>
    <t>Saldo em 31 de Março de 2012</t>
  </si>
  <si>
    <t xml:space="preserve">        NO PERÍODO DE 31 DE MARÇO DE 2012 E 31 DE DEZEMBRO DE 2011.</t>
  </si>
  <si>
    <t xml:space="preserve">                                      Belém, 31 de Março de 2012</t>
  </si>
  <si>
    <t xml:space="preserve">                            Belém, 31 de Março de 2012</t>
  </si>
  <si>
    <t>31/03/2012</t>
  </si>
  <si>
    <t>Empréstimo e Financiamento</t>
  </si>
  <si>
    <t>Belém, 31 de Março de 2012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</si>
</sst>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9">
      <selection activeCell="G34" sqref="G34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105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40999</v>
      </c>
      <c r="H11" s="4"/>
      <c r="I11" s="8">
        <v>40908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</f>
        <v>158104.26999999996</v>
      </c>
      <c r="H14" s="1"/>
      <c r="I14" s="11">
        <f>I16+I20</f>
        <v>180563.11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2621.94</v>
      </c>
      <c r="H16" s="1"/>
      <c r="I16" s="11">
        <f>I17+I18</f>
        <v>24816.14</v>
      </c>
      <c r="K16" s="1"/>
    </row>
    <row r="17" spans="1:9" ht="12.75">
      <c r="A17" t="s">
        <v>77</v>
      </c>
      <c r="E17" s="1"/>
      <c r="F17" s="1"/>
      <c r="G17" s="5">
        <f>1143.64</f>
        <v>1143.64</v>
      </c>
      <c r="H17" s="6"/>
      <c r="I17" s="5">
        <f>24816.14-I18</f>
        <v>5143.579999999998</v>
      </c>
    </row>
    <row r="18" spans="1:9" ht="12.75">
      <c r="A18" t="s">
        <v>78</v>
      </c>
      <c r="F18" s="1"/>
      <c r="G18" s="5">
        <v>1478.3</v>
      </c>
      <c r="H18" s="5"/>
      <c r="I18" s="5">
        <v>19672.56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155482.32999999996</v>
      </c>
      <c r="H20" s="1"/>
      <c r="I20" s="11">
        <f>I22+I25+I24+I31+I33+I23+I32</f>
        <v>155746.97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246350.27</v>
      </c>
      <c r="H22" s="5"/>
      <c r="I22" s="5">
        <v>236389.99</v>
      </c>
      <c r="M22" s="1"/>
    </row>
    <row r="23" spans="1:11" ht="12.75">
      <c r="A23" s="9" t="s">
        <v>151</v>
      </c>
      <c r="B23" s="2"/>
      <c r="C23" s="2"/>
      <c r="D23" s="2"/>
      <c r="F23" s="1"/>
      <c r="G23" s="5">
        <f>-202742.22</f>
        <v>-202742.22</v>
      </c>
      <c r="H23" s="5"/>
      <c r="I23" s="5">
        <v>-192162.36</v>
      </c>
      <c r="K23" s="1"/>
    </row>
    <row r="24" spans="1:11" ht="12.75">
      <c r="A24" s="9" t="s">
        <v>100</v>
      </c>
      <c r="B24" s="2"/>
      <c r="C24" s="2"/>
      <c r="D24" s="2"/>
      <c r="F24" s="1"/>
      <c r="G24" s="5">
        <v>83166.08</v>
      </c>
      <c r="H24" s="5"/>
      <c r="I24" s="5">
        <v>83166.08</v>
      </c>
      <c r="K24" s="1"/>
    </row>
    <row r="25" spans="1:9" ht="12.75">
      <c r="A25" s="9" t="s">
        <v>79</v>
      </c>
      <c r="G25" s="5">
        <v>7925.36</v>
      </c>
      <c r="H25" s="6"/>
      <c r="I25" s="5">
        <v>7681.61</v>
      </c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f>2000</f>
        <v>2000</v>
      </c>
      <c r="H31" s="6"/>
      <c r="I31" s="5">
        <v>2000</v>
      </c>
      <c r="K31" s="1"/>
    </row>
    <row r="32" spans="1:11" ht="12.75">
      <c r="A32" t="s">
        <v>167</v>
      </c>
      <c r="G32" s="5">
        <v>18464.65</v>
      </c>
      <c r="H32" s="6"/>
      <c r="I32" s="5">
        <v>18464.65</v>
      </c>
      <c r="K32" s="1"/>
    </row>
    <row r="33" spans="1:9" ht="12.75">
      <c r="A33" t="s">
        <v>152</v>
      </c>
      <c r="G33" s="5">
        <v>318.19</v>
      </c>
      <c r="H33" s="6"/>
      <c r="I33" s="5">
        <f>18464.65+207-I32</f>
        <v>207</v>
      </c>
    </row>
    <row r="34" spans="7:9" ht="12.75">
      <c r="G34" s="5"/>
      <c r="H34" s="6"/>
      <c r="I34" s="5"/>
    </row>
    <row r="35" spans="7:9" ht="12.75" hidden="1">
      <c r="G35" s="5"/>
      <c r="H35" s="6"/>
      <c r="I35" s="5"/>
    </row>
    <row r="36" spans="1:9" ht="12.75" hidden="1">
      <c r="A36" s="2"/>
      <c r="B36" s="2"/>
      <c r="C36" s="2"/>
      <c r="D36" s="2"/>
      <c r="G36" s="5"/>
      <c r="H36" s="6"/>
      <c r="I36" s="5"/>
    </row>
    <row r="37" spans="7:9" ht="12.75" hidden="1">
      <c r="G37" s="5"/>
      <c r="H37" s="7"/>
      <c r="I37" s="5"/>
    </row>
    <row r="38" spans="1:10" ht="12.75">
      <c r="A38" s="2" t="s">
        <v>40</v>
      </c>
      <c r="B38" s="2"/>
      <c r="C38" s="2"/>
      <c r="G38" s="11">
        <f>G40</f>
        <v>608862.72</v>
      </c>
      <c r="H38" s="1"/>
      <c r="I38" s="11">
        <f>I40</f>
        <v>470503.35</v>
      </c>
      <c r="J38" s="1"/>
    </row>
    <row r="39" spans="1:9" ht="12.75">
      <c r="A39" s="2"/>
      <c r="B39" s="2"/>
      <c r="C39" s="2"/>
      <c r="G39" s="5"/>
      <c r="H39" s="6"/>
      <c r="I39" s="5"/>
    </row>
    <row r="40" spans="1:11" ht="12.75">
      <c r="A40" s="2" t="s">
        <v>4</v>
      </c>
      <c r="B40" s="2"/>
      <c r="G40" s="11">
        <f>G41+G43+G46+G44+G47+G48+G45+G51+G42</f>
        <v>608862.72</v>
      </c>
      <c r="H40" s="1"/>
      <c r="I40" s="11">
        <f>I41+I43+I46+I44+I47+I48+I45+I51+I42</f>
        <v>470503.35</v>
      </c>
      <c r="K40" s="1"/>
    </row>
    <row r="41" spans="7:9" ht="12.75" hidden="1">
      <c r="G41" s="5"/>
      <c r="H41" s="6"/>
      <c r="I41" s="5"/>
    </row>
    <row r="42" spans="1:9" ht="12.75">
      <c r="A42" t="s">
        <v>161</v>
      </c>
      <c r="G42" s="5">
        <v>310355.25</v>
      </c>
      <c r="H42" s="6"/>
      <c r="I42" s="5">
        <v>310355.25</v>
      </c>
    </row>
    <row r="43" spans="1:9" ht="12.75">
      <c r="A43" t="s">
        <v>80</v>
      </c>
      <c r="G43" s="5">
        <v>39119.08</v>
      </c>
      <c r="H43" s="6"/>
      <c r="I43" s="5">
        <v>39119.08</v>
      </c>
    </row>
    <row r="44" spans="1:12" ht="12.75">
      <c r="A44" t="s">
        <v>81</v>
      </c>
      <c r="G44" s="5">
        <v>113229.22</v>
      </c>
      <c r="H44" s="6"/>
      <c r="I44" s="5">
        <v>113229.22</v>
      </c>
      <c r="L44" s="1"/>
    </row>
    <row r="45" spans="1:9" ht="12.75">
      <c r="A45" t="s">
        <v>128</v>
      </c>
      <c r="G45" s="5">
        <v>45000</v>
      </c>
      <c r="H45" s="6"/>
      <c r="I45" s="5">
        <v>45000</v>
      </c>
    </row>
    <row r="46" spans="1:12" ht="12.75">
      <c r="A46" t="s">
        <v>82</v>
      </c>
      <c r="G46" s="5">
        <v>3769</v>
      </c>
      <c r="H46" s="6"/>
      <c r="I46" s="5">
        <v>3769</v>
      </c>
      <c r="L46" s="1"/>
    </row>
    <row r="47" spans="1:9" ht="12.75">
      <c r="A47" t="s">
        <v>83</v>
      </c>
      <c r="G47" s="5">
        <v>5365</v>
      </c>
      <c r="H47" s="6"/>
      <c r="I47" s="5">
        <v>5365</v>
      </c>
    </row>
    <row r="48" spans="1:12" ht="12.75">
      <c r="A48" t="s">
        <v>127</v>
      </c>
      <c r="G48" s="5">
        <v>138359.37</v>
      </c>
      <c r="H48" s="5"/>
      <c r="I48" s="5">
        <v>0</v>
      </c>
      <c r="L48" s="1"/>
    </row>
    <row r="49" spans="7:9" ht="12.75" hidden="1">
      <c r="G49" s="5"/>
      <c r="H49" s="5"/>
      <c r="I49" s="5"/>
    </row>
    <row r="50" spans="7:9" ht="12.75" hidden="1">
      <c r="G50" s="5"/>
      <c r="H50" s="5"/>
      <c r="I50" s="5"/>
    </row>
    <row r="51" spans="1:11" ht="12.75">
      <c r="A51" t="s">
        <v>153</v>
      </c>
      <c r="G51" s="5">
        <f>-46334.2</f>
        <v>-46334.2</v>
      </c>
      <c r="H51" s="5"/>
      <c r="I51" s="5">
        <f>-46334.2</f>
        <v>-46334.2</v>
      </c>
      <c r="K51" s="1"/>
    </row>
    <row r="52" spans="1:9" ht="12.75">
      <c r="A52" t="s">
        <v>3</v>
      </c>
      <c r="G52" s="5"/>
      <c r="H52" s="6"/>
      <c r="I52" s="5"/>
    </row>
    <row r="53" spans="1:9" ht="13.5" thickBot="1">
      <c r="A53" s="2" t="s">
        <v>5</v>
      </c>
      <c r="B53" s="2"/>
      <c r="G53" s="12">
        <f>G14+G38</f>
        <v>766966.99</v>
      </c>
      <c r="H53" s="1"/>
      <c r="I53" s="12">
        <f>I14+I38</f>
        <v>651066.46</v>
      </c>
    </row>
    <row r="54" ht="13.5" thickTop="1"/>
    <row r="55" ht="12.75">
      <c r="D55" t="s">
        <v>168</v>
      </c>
    </row>
    <row r="57" ht="12.75">
      <c r="G57" s="1"/>
    </row>
    <row r="60" spans="1:10" ht="12.75">
      <c r="A60" s="3"/>
      <c r="B60" s="3"/>
      <c r="C60" s="3"/>
      <c r="D60" s="3"/>
      <c r="F60" s="3"/>
      <c r="G60" s="3"/>
      <c r="H60" s="3"/>
      <c r="I60" s="3"/>
      <c r="J60" s="6"/>
    </row>
    <row r="61" spans="1:6" ht="12.75">
      <c r="A61" t="s">
        <v>110</v>
      </c>
      <c r="F61" t="s">
        <v>164</v>
      </c>
    </row>
    <row r="62" spans="2:6" ht="12.75">
      <c r="B62" t="s">
        <v>111</v>
      </c>
      <c r="F62" t="s">
        <v>165</v>
      </c>
    </row>
    <row r="65" ht="12.75" hidden="1"/>
    <row r="66" spans="3:7" ht="12.75">
      <c r="C66" s="6"/>
      <c r="D66" s="3"/>
      <c r="E66" s="3"/>
      <c r="F66" s="3"/>
      <c r="G66" s="3"/>
    </row>
    <row r="67" ht="12.75">
      <c r="D67" t="s">
        <v>6</v>
      </c>
    </row>
    <row r="68" ht="12.75">
      <c r="D68" t="s">
        <v>7</v>
      </c>
    </row>
    <row r="69" ht="12.75">
      <c r="D69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4">
      <selection activeCell="L43" sqref="L43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105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40999</v>
      </c>
      <c r="H13" s="4"/>
      <c r="I13" s="8">
        <v>40908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G21+G24+G25+G26+G23+G27+G30+G31+G28+G29</f>
        <v>426665.5</v>
      </c>
      <c r="H18" s="1"/>
      <c r="I18" s="11">
        <f>I21+I24+I25+I26+I23+I27+I30+I31+I28+I29</f>
        <v>359360.4600000001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9" ht="12.75">
      <c r="A21" t="s">
        <v>84</v>
      </c>
      <c r="G21" s="1">
        <f>159033.44+113191.77</f>
        <v>272225.21</v>
      </c>
      <c r="H21" s="1"/>
      <c r="I21" s="1">
        <f>169214.31+98673.6</f>
        <v>267887.91000000003</v>
      </c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78513.06</v>
      </c>
      <c r="H24" s="1"/>
      <c r="I24" s="1">
        <v>18205.13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7:9" ht="12.75" hidden="1">
      <c r="G28" s="1"/>
      <c r="H28" s="1"/>
      <c r="I28" s="1"/>
    </row>
    <row r="29" spans="1:9" ht="12.75">
      <c r="A29" t="s">
        <v>28</v>
      </c>
      <c r="G29" s="1">
        <v>4158.92</v>
      </c>
      <c r="H29" s="1"/>
      <c r="I29" s="1">
        <v>0</v>
      </c>
    </row>
    <row r="30" spans="1:9" ht="12.75">
      <c r="A30" t="s">
        <v>30</v>
      </c>
      <c r="G30" s="1">
        <v>4974.58</v>
      </c>
      <c r="H30" s="1"/>
      <c r="I30" s="1">
        <v>3457.15</v>
      </c>
    </row>
    <row r="31" spans="1:9" ht="12.75">
      <c r="A31" t="s">
        <v>85</v>
      </c>
      <c r="G31" s="1">
        <v>66793.73</v>
      </c>
      <c r="H31" s="1"/>
      <c r="I31" s="1">
        <v>69810.27</v>
      </c>
    </row>
    <row r="32" spans="1:9" ht="12.75">
      <c r="A32" s="2"/>
      <c r="G32" s="7"/>
      <c r="H32" s="1"/>
      <c r="I32" s="7"/>
    </row>
    <row r="33" spans="7:9" ht="12.75">
      <c r="G33" s="1"/>
      <c r="H33" s="1"/>
      <c r="I33" s="1"/>
    </row>
    <row r="34" spans="1:9" ht="12.75">
      <c r="A34" s="2" t="s">
        <v>23</v>
      </c>
      <c r="G34" s="11">
        <f>G36+G38+G37</f>
        <v>340301.4900000001</v>
      </c>
      <c r="H34" s="1"/>
      <c r="I34" s="11">
        <f>I36+I38+I37</f>
        <v>291706.00000000047</v>
      </c>
    </row>
    <row r="35" spans="7:9" ht="12.75">
      <c r="G35" s="1"/>
      <c r="H35" s="1"/>
      <c r="I35" s="1"/>
    </row>
    <row r="36" spans="1:9" ht="12.75">
      <c r="A36" t="s">
        <v>22</v>
      </c>
      <c r="G36" s="1">
        <v>291706</v>
      </c>
      <c r="H36" s="1"/>
      <c r="I36" s="1">
        <v>268578.51</v>
      </c>
    </row>
    <row r="37" spans="1:9" ht="12.75">
      <c r="A37" t="s">
        <v>86</v>
      </c>
      <c r="G37" s="1">
        <f>resultado!H39</f>
        <v>48595.49000000012</v>
      </c>
      <c r="H37" s="1"/>
      <c r="I37" s="1">
        <f>resultado!J39</f>
        <v>23127.490000000464</v>
      </c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9" ht="12.75">
      <c r="G40" s="1"/>
      <c r="H40" s="1"/>
      <c r="I40" s="1"/>
    </row>
    <row r="41" spans="7:9" ht="12.75">
      <c r="G41" s="1"/>
      <c r="H41" s="1"/>
      <c r="I41" s="1"/>
    </row>
    <row r="43" spans="1:12" ht="13.5" thickBot="1">
      <c r="A43" s="2" t="s">
        <v>21</v>
      </c>
      <c r="G43" s="12">
        <f>G18+G34+G32</f>
        <v>766966.9900000001</v>
      </c>
      <c r="H43" s="1"/>
      <c r="I43" s="12">
        <f>I18+I34+I32</f>
        <v>651066.4600000005</v>
      </c>
      <c r="L43" s="1"/>
    </row>
    <row r="44" ht="13.5" thickTop="1"/>
    <row r="45" spans="7:9" ht="12.75">
      <c r="G45" s="1"/>
      <c r="I45" s="1"/>
    </row>
    <row r="46" spans="4:11" ht="12.75">
      <c r="D46" t="s">
        <v>166</v>
      </c>
      <c r="G46" s="1"/>
      <c r="I46" s="1"/>
      <c r="K46" s="1"/>
    </row>
    <row r="50" spans="1:9" ht="12.75">
      <c r="A50" s="3"/>
      <c r="B50" s="3"/>
      <c r="C50" s="3"/>
      <c r="D50" s="3"/>
      <c r="F50" s="3"/>
      <c r="G50" s="3"/>
      <c r="H50" s="3"/>
      <c r="I50" s="3"/>
    </row>
    <row r="51" spans="1:6" ht="12.75">
      <c r="A51" t="s">
        <v>122</v>
      </c>
      <c r="F51" t="s">
        <v>164</v>
      </c>
    </row>
    <row r="52" spans="2:6" ht="12.75">
      <c r="B52" t="s">
        <v>112</v>
      </c>
      <c r="F52" t="s">
        <v>165</v>
      </c>
    </row>
    <row r="55" spans="4:7" ht="12.75">
      <c r="D55" s="3"/>
      <c r="E55" s="3"/>
      <c r="F55" s="3"/>
      <c r="G55" s="3"/>
    </row>
    <row r="56" spans="3:7" ht="12.75">
      <c r="C56" s="6"/>
      <c r="D56" t="s">
        <v>6</v>
      </c>
      <c r="E56" s="6"/>
      <c r="F56" s="6"/>
      <c r="G56" s="6"/>
    </row>
    <row r="57" ht="12.75">
      <c r="D57" t="s">
        <v>7</v>
      </c>
    </row>
    <row r="58" ht="12.75">
      <c r="D58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4">
      <selection activeCell="H14" sqref="H14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9.7109375" style="0" bestFit="1" customWidth="1"/>
    <col min="12" max="12" width="11.7109375" style="0" bestFit="1" customWidth="1"/>
  </cols>
  <sheetData>
    <row r="1" spans="9:11" ht="12.75">
      <c r="I1" s="2"/>
      <c r="J1" s="2"/>
      <c r="K1" s="2"/>
    </row>
    <row r="3" ht="12.75">
      <c r="A3" t="s">
        <v>105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40999</v>
      </c>
      <c r="I13" s="4"/>
      <c r="J13" s="8">
        <v>40908</v>
      </c>
    </row>
    <row r="14" ht="13.5" thickTop="1"/>
    <row r="15" spans="1:10" ht="12.75">
      <c r="A15" s="2" t="s">
        <v>57</v>
      </c>
      <c r="H15" s="11">
        <f>H17+H18+H20+H22+H23+H24+H25</f>
        <v>699188.4</v>
      </c>
      <c r="J15" s="11">
        <f>J17+J18+J20+J22+J23+J24+J25</f>
        <v>2763914.62</v>
      </c>
    </row>
    <row r="17" spans="1:10" ht="12.75">
      <c r="A17" t="s">
        <v>87</v>
      </c>
      <c r="G17" s="5"/>
      <c r="H17" s="1">
        <f>resultado!H15</f>
        <v>444643.8</v>
      </c>
      <c r="I17" s="1"/>
      <c r="J17" s="1">
        <f>resultado!J15</f>
        <v>1826066.6</v>
      </c>
    </row>
    <row r="18" spans="1:10" ht="12.75">
      <c r="A18" t="s">
        <v>88</v>
      </c>
      <c r="G18" s="5"/>
      <c r="H18" s="1">
        <f>resultado!H16</f>
        <v>120685.43000000001</v>
      </c>
      <c r="I18" s="1"/>
      <c r="J18" s="1">
        <f>resultado!J16</f>
        <v>721485.1</v>
      </c>
    </row>
    <row r="19" spans="7:10" ht="12.75" hidden="1">
      <c r="G19" s="5"/>
      <c r="H19" s="1">
        <f>resultado!H17</f>
        <v>0</v>
      </c>
      <c r="I19" s="1"/>
      <c r="J19" s="1">
        <f>resultado!J17</f>
        <v>0</v>
      </c>
    </row>
    <row r="20" spans="1:10" ht="12.75">
      <c r="A20" t="s">
        <v>89</v>
      </c>
      <c r="G20" s="5"/>
      <c r="H20" s="1">
        <f>resultado!H18</f>
        <v>0</v>
      </c>
      <c r="I20" s="1"/>
      <c r="J20" s="1">
        <f>resultado!J18</f>
        <v>28645</v>
      </c>
    </row>
    <row r="21" spans="7:10" ht="12.75" hidden="1">
      <c r="G21" s="5"/>
      <c r="H21" s="1">
        <f>resultado!H19</f>
        <v>0</v>
      </c>
      <c r="I21" s="1"/>
      <c r="J21" s="1">
        <f>resultado!J19</f>
        <v>0</v>
      </c>
    </row>
    <row r="22" spans="1:10" ht="12.75">
      <c r="A22" t="s">
        <v>126</v>
      </c>
      <c r="G22" s="5"/>
      <c r="H22" s="1">
        <f>resultado!H20</f>
        <v>21105</v>
      </c>
      <c r="I22" s="1"/>
      <c r="J22" s="1">
        <f>resultado!J20</f>
        <v>72483</v>
      </c>
    </row>
    <row r="23" spans="1:10" ht="12.75">
      <c r="A23" t="s">
        <v>90</v>
      </c>
      <c r="G23" s="5"/>
      <c r="H23" s="1">
        <f>resultado!H21</f>
        <v>11433.56</v>
      </c>
      <c r="I23" s="1"/>
      <c r="J23" s="1">
        <f>resultado!J21</f>
        <v>56034.88</v>
      </c>
    </row>
    <row r="24" spans="1:10" ht="12.75">
      <c r="A24" t="s">
        <v>18</v>
      </c>
      <c r="G24" s="5"/>
      <c r="H24" s="1">
        <f>resultado!H22</f>
        <v>415.1199999999999</v>
      </c>
      <c r="I24" s="1"/>
      <c r="J24" s="1">
        <f>resultado!J22</f>
        <v>9200.04</v>
      </c>
    </row>
    <row r="25" spans="1:10" ht="12.75">
      <c r="A25" t="s">
        <v>124</v>
      </c>
      <c r="H25" s="1">
        <v>100905.49</v>
      </c>
      <c r="J25" s="1">
        <v>50000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248673.10999999993</v>
      </c>
      <c r="J27" s="11">
        <f>J29+J31</f>
        <v>1609165.42</v>
      </c>
    </row>
    <row r="28" ht="12.75">
      <c r="A28" s="2"/>
    </row>
    <row r="29" spans="1:10" ht="12.75">
      <c r="A29" t="s">
        <v>59</v>
      </c>
      <c r="H29" s="1">
        <f>1993.75+1150+42271.15+34752.23+7974.89</f>
        <v>88142.02</v>
      </c>
      <c r="J29" s="1">
        <v>538014.66</v>
      </c>
    </row>
    <row r="30" spans="8:10" ht="12.75" hidden="1">
      <c r="H30" s="1"/>
      <c r="J30" s="1"/>
    </row>
    <row r="31" spans="1:10" ht="12.75">
      <c r="A31" t="s">
        <v>60</v>
      </c>
      <c r="H31" s="1">
        <f>161034.28+17911+189433.28+83991.07+8167+499.92-H29-H44-H53</f>
        <v>160531.08999999994</v>
      </c>
      <c r="J31" s="1">
        <v>1071150.76</v>
      </c>
    </row>
    <row r="32" ht="12.75">
      <c r="A32" t="s">
        <v>61</v>
      </c>
    </row>
    <row r="34" spans="1:10" ht="12.75">
      <c r="A34" s="2" t="s">
        <v>62</v>
      </c>
      <c r="H34" s="11">
        <f>H15-H27</f>
        <v>450515.2900000001</v>
      </c>
      <c r="I34" s="7"/>
      <c r="J34" s="11">
        <f>J15-J27</f>
        <v>1154749.2000000002</v>
      </c>
    </row>
    <row r="35" ht="12.75">
      <c r="I35" s="6"/>
    </row>
    <row r="36" spans="1:10" ht="12.75">
      <c r="A36" s="2" t="s">
        <v>63</v>
      </c>
      <c r="H36" s="11">
        <f>H38</f>
        <v>170.62</v>
      </c>
      <c r="I36" s="6"/>
      <c r="J36" s="11">
        <f>J38</f>
        <v>119857.02</v>
      </c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170.62</v>
      </c>
      <c r="I38" s="6"/>
      <c r="J38" s="1">
        <f>resultado!J31</f>
        <v>119857.02</v>
      </c>
    </row>
    <row r="39" ht="12.75">
      <c r="I39" s="6"/>
    </row>
    <row r="40" spans="1:14" ht="13.5" thickBot="1">
      <c r="A40" s="2" t="s">
        <v>65</v>
      </c>
      <c r="H40" s="12">
        <f>H34+H36</f>
        <v>450685.9100000001</v>
      </c>
      <c r="I40" s="7"/>
      <c r="J40" s="12">
        <f>J34+J36</f>
        <v>1274606.2200000002</v>
      </c>
      <c r="K40" s="7"/>
      <c r="N40" s="1"/>
    </row>
    <row r="41" ht="13.5" thickTop="1"/>
    <row r="42" spans="1:11" ht="13.5" thickBot="1">
      <c r="A42" s="2" t="s">
        <v>66</v>
      </c>
      <c r="H42" s="12">
        <f>H44+H53+H60+H64</f>
        <v>260958.93000000017</v>
      </c>
      <c r="I42" s="7"/>
      <c r="J42" s="12">
        <f>J44+J53+J60+J64</f>
        <v>1274606.2200000004</v>
      </c>
      <c r="K42" s="1"/>
    </row>
    <row r="43" ht="13.5" thickTop="1"/>
    <row r="44" spans="1:11" ht="12.75">
      <c r="A44" t="s">
        <v>67</v>
      </c>
      <c r="H44" s="11">
        <f>H45+H50+H51</f>
        <v>211863.52000000002</v>
      </c>
      <c r="J44" s="11">
        <f>J45+J50+J51</f>
        <v>1236937.1300000001</v>
      </c>
      <c r="K44" s="1"/>
    </row>
    <row r="45" spans="1:10" ht="12.75">
      <c r="A45" t="s">
        <v>68</v>
      </c>
      <c r="H45" s="1">
        <f>23694.06+9665.31+52414.21+27912.67+800</f>
        <v>114486.25</v>
      </c>
      <c r="J45" s="1">
        <v>659109.43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96</v>
      </c>
      <c r="H50" s="1">
        <f>14221.23+5994.32+32591.5+17232.22</f>
        <v>70039.27</v>
      </c>
      <c r="J50" s="1">
        <v>429114.44</v>
      </c>
    </row>
    <row r="51" spans="1:10" ht="12.75">
      <c r="A51" t="s">
        <v>97</v>
      </c>
      <c r="H51" s="1">
        <f>2650.1+1517.43+1271.43+237.94+5250.13+7565.67+6472.26+1820.54+552.5</f>
        <v>27338</v>
      </c>
      <c r="J51" s="1">
        <v>148713.26</v>
      </c>
    </row>
    <row r="52" ht="12.75">
      <c r="A52" t="s">
        <v>95</v>
      </c>
    </row>
    <row r="53" spans="1:10" ht="12.75">
      <c r="A53" t="s">
        <v>69</v>
      </c>
      <c r="H53" s="11">
        <f>H54+H56+H57+H55</f>
        <v>499.92</v>
      </c>
      <c r="I53" s="7"/>
      <c r="J53" s="11">
        <f>J54+J56+J57+J55</f>
        <v>2507.8900000000003</v>
      </c>
    </row>
    <row r="54" ht="12.75" hidden="1"/>
    <row r="55" spans="1:10" ht="12.75">
      <c r="A55" t="s">
        <v>131</v>
      </c>
      <c r="H55" s="1">
        <v>499.92</v>
      </c>
      <c r="J55" s="1">
        <f>506.23+155.29</f>
        <v>661.52</v>
      </c>
    </row>
    <row r="56" spans="1:10" ht="12.75">
      <c r="A56" t="s">
        <v>70</v>
      </c>
      <c r="H56" s="1">
        <v>0</v>
      </c>
      <c r="J56" s="1">
        <v>1761.45</v>
      </c>
    </row>
    <row r="57" spans="1:10" ht="12.75">
      <c r="A57" t="s">
        <v>130</v>
      </c>
      <c r="H57" s="1">
        <v>0</v>
      </c>
      <c r="J57" s="1">
        <v>84.92</v>
      </c>
    </row>
    <row r="58" ht="12.75" hidden="1"/>
    <row r="60" spans="1:10" ht="12.75">
      <c r="A60" t="s">
        <v>71</v>
      </c>
      <c r="H60" s="11">
        <f>H61+H62</f>
        <v>0</v>
      </c>
      <c r="I60" s="7"/>
      <c r="J60" s="11">
        <f>J61+J62</f>
        <v>12033.71</v>
      </c>
    </row>
    <row r="61" spans="1:10" ht="12.75">
      <c r="A61" t="s">
        <v>72</v>
      </c>
      <c r="H61" s="1">
        <v>0</v>
      </c>
      <c r="J61" s="1">
        <v>12033.71</v>
      </c>
    </row>
    <row r="63" ht="12.75" hidden="1"/>
    <row r="64" spans="1:10" ht="12.75">
      <c r="A64" t="s">
        <v>98</v>
      </c>
      <c r="H64" s="11">
        <f>resultado!H39</f>
        <v>48595.49000000012</v>
      </c>
      <c r="I64" s="7"/>
      <c r="J64" s="11">
        <f>resultado!J39</f>
        <v>23127.490000000464</v>
      </c>
    </row>
    <row r="66" spans="4:8" ht="12.75">
      <c r="D66" t="s">
        <v>175</v>
      </c>
      <c r="H66" s="1"/>
    </row>
    <row r="69" spans="1:9" ht="12.75">
      <c r="A69" s="3"/>
      <c r="B69" s="3"/>
      <c r="C69" s="3"/>
      <c r="D69" s="3"/>
      <c r="E69" s="6"/>
      <c r="F69" s="3"/>
      <c r="G69" s="3"/>
      <c r="H69" s="3"/>
      <c r="I69" s="3"/>
    </row>
    <row r="70" spans="1:6" ht="12.75">
      <c r="A70" t="s">
        <v>113</v>
      </c>
      <c r="F70" t="s">
        <v>164</v>
      </c>
    </row>
    <row r="71" spans="2:6" ht="12.75">
      <c r="B71" t="s">
        <v>114</v>
      </c>
      <c r="F71" t="s">
        <v>165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3"/>
      <c r="E75" s="3"/>
      <c r="F75" s="3"/>
      <c r="G75" s="3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6">
      <selection activeCell="D23" sqref="D23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  <col min="10" max="10" width="9.710937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106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173</v>
      </c>
      <c r="E11" s="6"/>
      <c r="F11" s="18" t="s">
        <v>162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112006.25000000009</v>
      </c>
      <c r="E13" s="7"/>
      <c r="F13" s="11">
        <v>-12173.959999999497</v>
      </c>
    </row>
    <row r="14" spans="1:5" ht="12.75">
      <c r="A14" s="2"/>
      <c r="B14" s="6"/>
      <c r="C14" s="2"/>
      <c r="E14" s="6"/>
    </row>
    <row r="15" spans="1:6" ht="12.75">
      <c r="A15" s="2" t="s">
        <v>99</v>
      </c>
      <c r="B15" s="7"/>
      <c r="C15" s="2"/>
      <c r="D15" s="11">
        <f>D16+D19</f>
        <v>59175.35000000012</v>
      </c>
      <c r="E15" s="7"/>
      <c r="F15" s="11">
        <v>110865.37</v>
      </c>
    </row>
    <row r="16" spans="1:6" ht="12.75">
      <c r="A16" s="9" t="s">
        <v>101</v>
      </c>
      <c r="B16" s="19"/>
      <c r="C16" s="13"/>
      <c r="D16" s="19">
        <f>resultado!H39</f>
        <v>48595.49000000012</v>
      </c>
      <c r="E16" s="6"/>
      <c r="F16" s="19">
        <v>23127.490000000464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10579.86</v>
      </c>
      <c r="E19" s="7"/>
      <c r="F19" s="11">
        <v>87737.88</v>
      </c>
    </row>
    <row r="20" spans="1:6" ht="12.75">
      <c r="A20" s="9"/>
      <c r="B20" s="19"/>
      <c r="C20" s="9"/>
      <c r="D20" s="19"/>
      <c r="E20" s="7"/>
      <c r="F20" s="19"/>
    </row>
    <row r="21" spans="1:8" ht="12.75">
      <c r="A21" s="9"/>
      <c r="B21" s="19"/>
      <c r="C21" s="9" t="s">
        <v>125</v>
      </c>
      <c r="D21" s="19">
        <v>0</v>
      </c>
      <c r="E21" s="6"/>
      <c r="F21" s="19">
        <v>50000</v>
      </c>
      <c r="H21" s="1"/>
    </row>
    <row r="22" spans="1:8" ht="12.75">
      <c r="A22" s="9"/>
      <c r="B22" s="19"/>
      <c r="C22" s="9" t="s">
        <v>155</v>
      </c>
      <c r="D22" s="19">
        <v>0</v>
      </c>
      <c r="E22" s="6"/>
      <c r="F22" s="19">
        <v>-24763.98</v>
      </c>
      <c r="H22" s="1"/>
    </row>
    <row r="23" spans="1:8" ht="12.75">
      <c r="A23" s="9"/>
      <c r="B23" s="19"/>
      <c r="C23" s="9" t="s">
        <v>156</v>
      </c>
      <c r="D23" s="19">
        <v>10579.86</v>
      </c>
      <c r="E23" s="6"/>
      <c r="F23" s="19">
        <v>62501.86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D28+D49</f>
        <v>52830.899999999965</v>
      </c>
      <c r="E26" s="7"/>
      <c r="F26" s="11">
        <v>-123039.33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D29+D30+D31+D41+D43</f>
        <v>-10315.22</v>
      </c>
      <c r="E28" s="7"/>
      <c r="F28" s="11">
        <v>-35008.1</v>
      </c>
      <c r="H28" s="1"/>
    </row>
    <row r="29" spans="1:11" ht="12.75">
      <c r="A29" s="9"/>
      <c r="B29" s="6"/>
      <c r="C29" s="9" t="s">
        <v>76</v>
      </c>
      <c r="D29" s="13">
        <f>ativo!I22-ativo!G22</f>
        <v>-9960.279999999999</v>
      </c>
      <c r="E29" s="2"/>
      <c r="F29" s="13">
        <v>-32262.39</v>
      </c>
      <c r="H29" s="1"/>
      <c r="I29" s="5"/>
      <c r="J29" s="5"/>
      <c r="K29" s="5"/>
    </row>
    <row r="30" spans="1:11" ht="12.75">
      <c r="A30" s="9"/>
      <c r="B30" s="6"/>
      <c r="C30" s="9" t="s">
        <v>100</v>
      </c>
      <c r="D30" s="13">
        <f>ativo!I24-ativo!G24</f>
        <v>0</v>
      </c>
      <c r="E30" s="2"/>
      <c r="F30" s="13">
        <v>4895.36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-243.75</v>
      </c>
      <c r="F31" s="1">
        <v>2749.55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0</v>
      </c>
      <c r="E41" s="6"/>
      <c r="F41" s="19">
        <v>3602.66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152</v>
      </c>
      <c r="D43" s="19">
        <f>ativo!I33-ativo!G33</f>
        <v>-111.19</v>
      </c>
      <c r="E43" s="6"/>
      <c r="F43" s="19">
        <v>-13993.28</v>
      </c>
    </row>
    <row r="44" spans="1:6" ht="12.75">
      <c r="A44" s="9"/>
      <c r="B44" s="6"/>
      <c r="D44" s="19"/>
      <c r="E44" s="6"/>
      <c r="F44" s="19"/>
    </row>
    <row r="45" spans="1:6" ht="12.75">
      <c r="A45" s="9"/>
      <c r="B45" s="6"/>
      <c r="C45" t="s">
        <v>129</v>
      </c>
      <c r="D45" s="19"/>
      <c r="E45" s="6"/>
      <c r="F45" s="19"/>
    </row>
    <row r="46" spans="2:5" ht="12.75">
      <c r="B46" s="6"/>
      <c r="E46" s="6"/>
    </row>
    <row r="47" spans="2:5" ht="12.75" hidden="1">
      <c r="B47" s="6"/>
      <c r="E47" s="6"/>
    </row>
    <row r="48" spans="1:6" ht="12.75">
      <c r="A48" t="s">
        <v>54</v>
      </c>
      <c r="B48" s="6"/>
      <c r="D48" s="7"/>
      <c r="E48" s="6"/>
      <c r="F48" s="7"/>
    </row>
    <row r="49" spans="1:6" ht="12.75">
      <c r="A49" t="s">
        <v>46</v>
      </c>
      <c r="B49" s="6"/>
      <c r="D49" s="11">
        <f>D50+D51+D54+D55+D58</f>
        <v>63146.119999999966</v>
      </c>
      <c r="E49" s="7"/>
      <c r="F49" s="11">
        <v>-88031.23</v>
      </c>
    </row>
    <row r="50" spans="2:6" ht="12.75">
      <c r="B50" s="6"/>
      <c r="C50" t="s">
        <v>84</v>
      </c>
      <c r="D50" s="19">
        <f>passivo2!G21-passivo2!I21</f>
        <v>4337.299999999988</v>
      </c>
      <c r="E50" s="7"/>
      <c r="F50" s="19">
        <v>-54570.13</v>
      </c>
    </row>
    <row r="51" spans="2:6" ht="12.75">
      <c r="B51" s="6"/>
      <c r="C51" t="s">
        <v>12</v>
      </c>
      <c r="D51" s="19">
        <f>passivo2!G24-passivo2!I24</f>
        <v>60307.92999999999</v>
      </c>
      <c r="E51" s="7"/>
      <c r="F51" s="19">
        <v>-47163.61</v>
      </c>
    </row>
    <row r="52" spans="2:5" ht="12.75" hidden="1">
      <c r="B52" s="6"/>
      <c r="E52" s="6"/>
    </row>
    <row r="53" spans="2:5" ht="12.75" hidden="1">
      <c r="B53" s="6"/>
      <c r="C53" t="s">
        <v>28</v>
      </c>
      <c r="E53" s="6"/>
    </row>
    <row r="54" spans="2:6" ht="12.75">
      <c r="B54" s="6"/>
      <c r="C54" t="s">
        <v>154</v>
      </c>
      <c r="D54" s="1">
        <f>passivo2!G28-passivo2!I28</f>
        <v>0</v>
      </c>
      <c r="E54" s="6"/>
      <c r="F54" s="1">
        <v>-58337.38</v>
      </c>
    </row>
    <row r="55" spans="2:6" ht="12.75">
      <c r="B55" s="6"/>
      <c r="C55" t="s">
        <v>30</v>
      </c>
      <c r="D55" s="5">
        <f>passivo2!G30-passivo2!I30</f>
        <v>1517.4299999999998</v>
      </c>
      <c r="E55" s="6"/>
      <c r="F55" s="5">
        <v>2229.62</v>
      </c>
    </row>
    <row r="56" spans="2:6" ht="12.75" hidden="1">
      <c r="B56" s="6"/>
      <c r="C56" t="s">
        <v>85</v>
      </c>
      <c r="D56" s="6"/>
      <c r="E56" s="6"/>
      <c r="F56" s="6"/>
    </row>
    <row r="57" spans="4:6" ht="12.75" hidden="1">
      <c r="D57" s="7"/>
      <c r="E57" s="6"/>
      <c r="F57" s="7"/>
    </row>
    <row r="58" spans="2:6" ht="12.75">
      <c r="B58" s="6"/>
      <c r="C58" t="s">
        <v>85</v>
      </c>
      <c r="D58" s="19">
        <f>passivo2!G31-passivo2!I31</f>
        <v>-3016.540000000008</v>
      </c>
      <c r="E58" s="6"/>
      <c r="F58" s="19">
        <v>69810.27</v>
      </c>
    </row>
    <row r="59" spans="2:6" ht="12.75">
      <c r="B59" s="7"/>
      <c r="C59" s="2"/>
      <c r="D59" s="5"/>
      <c r="E59" s="6"/>
      <c r="F59" s="5"/>
    </row>
    <row r="60" spans="2:6" ht="12.75">
      <c r="B60" s="6"/>
      <c r="D60" s="7"/>
      <c r="E60" s="6"/>
      <c r="F60" s="7"/>
    </row>
    <row r="61" spans="1:6" ht="12.75">
      <c r="A61" s="2" t="s">
        <v>47</v>
      </c>
      <c r="B61" s="6"/>
      <c r="C61" s="2"/>
      <c r="D61" s="11">
        <f>D68-D70</f>
        <v>134200.44999999998</v>
      </c>
      <c r="E61" s="7"/>
      <c r="F61" s="11">
        <v>4252</v>
      </c>
    </row>
    <row r="62" spans="1:6" ht="12.75">
      <c r="A62" s="2"/>
      <c r="B62" s="6"/>
      <c r="C62" s="2"/>
      <c r="D62" s="7"/>
      <c r="E62" s="7"/>
      <c r="F62" s="7"/>
    </row>
    <row r="63" spans="1:6" ht="12.75" hidden="1">
      <c r="A63" s="2"/>
      <c r="B63" s="6"/>
      <c r="C63" s="2"/>
      <c r="D63" s="19"/>
      <c r="E63" s="7"/>
      <c r="F63" s="19"/>
    </row>
    <row r="64" spans="2:6" ht="12.75" hidden="1">
      <c r="B64" s="6"/>
      <c r="D64" s="1"/>
      <c r="E64" s="6"/>
      <c r="F64" s="1"/>
    </row>
    <row r="65" spans="1:6" ht="12.75" hidden="1">
      <c r="A65" s="2"/>
      <c r="B65" s="7"/>
      <c r="C65" s="2"/>
      <c r="D65" s="1"/>
      <c r="E65" s="6"/>
      <c r="F65" s="1"/>
    </row>
    <row r="66" spans="1:5" ht="12.75" hidden="1">
      <c r="A66" s="9"/>
      <c r="B66" s="6"/>
      <c r="C66" s="9"/>
      <c r="E66" s="6"/>
    </row>
    <row r="67" spans="1:5" ht="12.75" hidden="1">
      <c r="A67" s="9"/>
      <c r="B67" s="5"/>
      <c r="C67" s="9"/>
      <c r="E67" s="6"/>
    </row>
    <row r="68" spans="1:6" ht="12.75">
      <c r="A68" t="s">
        <v>48</v>
      </c>
      <c r="B68" s="5"/>
      <c r="D68" s="1">
        <f>73055.1+74305.53-9001.26</f>
        <v>138359.37</v>
      </c>
      <c r="E68" s="6"/>
      <c r="F68" s="1">
        <v>4252</v>
      </c>
    </row>
    <row r="69" spans="2:6" ht="12.75">
      <c r="B69" s="5"/>
      <c r="D69" s="1"/>
      <c r="E69" s="6"/>
      <c r="F69" s="1"/>
    </row>
    <row r="70" spans="1:6" ht="12.75">
      <c r="A70" t="s">
        <v>3</v>
      </c>
      <c r="B70" s="5" t="s">
        <v>174</v>
      </c>
      <c r="D70" s="1">
        <v>4158.92</v>
      </c>
      <c r="E70" s="6"/>
      <c r="F70" s="1">
        <v>0</v>
      </c>
    </row>
    <row r="71" spans="2:5" ht="12.75">
      <c r="B71" s="5"/>
      <c r="E71" s="6"/>
    </row>
    <row r="72" spans="1:5" ht="12.75" hidden="1">
      <c r="A72" s="9"/>
      <c r="B72" s="6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2:5" ht="12.75" hidden="1">
      <c r="B77" s="5"/>
      <c r="E77" s="6"/>
    </row>
    <row r="78" spans="1:5" ht="12.75" hidden="1">
      <c r="A78" s="1"/>
      <c r="B78" s="6"/>
      <c r="C78" s="1"/>
      <c r="E78" s="6"/>
    </row>
    <row r="79" spans="1:5" ht="12.75" hidden="1">
      <c r="A79" s="2"/>
      <c r="B79" s="7"/>
      <c r="C79" s="2"/>
      <c r="E79" s="6"/>
    </row>
    <row r="80" spans="2:5" ht="12.75" hidden="1">
      <c r="B80" s="5"/>
      <c r="E80" s="6"/>
    </row>
    <row r="81" spans="1:5" ht="12.75" hidden="1">
      <c r="A81" s="2"/>
      <c r="B81" s="6"/>
      <c r="C81" s="2"/>
      <c r="E81" s="6"/>
    </row>
    <row r="82" spans="1:5" ht="12.75" hidden="1">
      <c r="A82" s="43"/>
      <c r="B82" s="7"/>
      <c r="C82" s="14"/>
      <c r="E82" s="6"/>
    </row>
    <row r="83" spans="1:5" ht="12.75" hidden="1">
      <c r="A83" s="6"/>
      <c r="B83" s="5"/>
      <c r="C83" s="6"/>
      <c r="E83" s="6"/>
    </row>
    <row r="84" spans="2:5" ht="12.75" hidden="1">
      <c r="B84" s="5"/>
      <c r="E84" s="6"/>
    </row>
    <row r="85" spans="1:5" ht="12.75" hidden="1">
      <c r="A85" s="2"/>
      <c r="B85" s="5"/>
      <c r="E85" s="6"/>
    </row>
    <row r="86" spans="2:5" ht="12.75" hidden="1">
      <c r="B86" s="5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2"/>
      <c r="B90" s="7"/>
      <c r="C90" s="2"/>
      <c r="E90" s="6"/>
    </row>
    <row r="91" spans="1:5" ht="12.75" hidden="1">
      <c r="A91" s="14"/>
      <c r="B91" s="7"/>
      <c r="C91" s="14"/>
      <c r="E91" s="6"/>
    </row>
    <row r="92" spans="1:5" ht="12.75" hidden="1">
      <c r="A92" s="6"/>
      <c r="B92" s="6"/>
      <c r="C92" s="6"/>
      <c r="E92" s="6"/>
    </row>
    <row r="93" spans="1:5" ht="12.75" hidden="1">
      <c r="A93" s="14"/>
      <c r="B93" s="6"/>
      <c r="C93" s="14"/>
      <c r="E93" s="6"/>
    </row>
    <row r="94" spans="1:5" ht="12.75" hidden="1">
      <c r="A94" s="6"/>
      <c r="B94" s="6"/>
      <c r="C94" s="6"/>
      <c r="E94" s="6"/>
    </row>
    <row r="95" spans="1:5" ht="12.75" hidden="1">
      <c r="A95" s="6"/>
      <c r="B95" s="6"/>
      <c r="C95" s="6"/>
      <c r="E95" s="6"/>
    </row>
    <row r="96" spans="1:5" ht="12.75" hidden="1">
      <c r="A96" s="14"/>
      <c r="B96" s="6"/>
      <c r="C96" s="14"/>
      <c r="E96" s="6"/>
    </row>
    <row r="97" spans="1:5" ht="12.75" hidden="1">
      <c r="A97" s="6"/>
      <c r="B97" s="6"/>
      <c r="C97" s="6"/>
      <c r="E97" s="6"/>
    </row>
    <row r="98" spans="1:5" ht="12.75" hidden="1">
      <c r="A98" s="14"/>
      <c r="B98" s="6"/>
      <c r="C98" s="14"/>
      <c r="E98" s="6"/>
    </row>
    <row r="99" spans="1:5" ht="12.75" hidden="1">
      <c r="A99" s="2"/>
      <c r="B99" s="6"/>
      <c r="E99" s="6"/>
    </row>
    <row r="100" spans="1:5" ht="12.75" hidden="1">
      <c r="A100" s="10"/>
      <c r="B100" s="7"/>
      <c r="C100" s="10"/>
      <c r="E100" s="6"/>
    </row>
    <row r="101" spans="1:5" ht="12.75">
      <c r="A101" s="13"/>
      <c r="B101" s="7"/>
      <c r="C101" s="10"/>
      <c r="E101" s="6"/>
    </row>
    <row r="102" spans="1:7" ht="13.5" thickBot="1">
      <c r="A102" s="10" t="s">
        <v>49</v>
      </c>
      <c r="B102" s="7"/>
      <c r="C102" s="10"/>
      <c r="D102" s="12">
        <f>D13-D61</f>
        <v>-22194.199999999895</v>
      </c>
      <c r="E102" s="7"/>
      <c r="F102" s="12">
        <v>-16425.959999999497</v>
      </c>
      <c r="G102" s="1"/>
    </row>
    <row r="103" spans="1:5" ht="13.5" thickTop="1">
      <c r="A103" s="1"/>
      <c r="B103" s="6"/>
      <c r="C103" s="1"/>
      <c r="E103" s="6"/>
    </row>
    <row r="104" spans="1:5" ht="12.75">
      <c r="A104" s="2" t="s">
        <v>50</v>
      </c>
      <c r="B104" s="7"/>
      <c r="C104" s="2"/>
      <c r="E104" s="6"/>
    </row>
    <row r="105" spans="1:5" ht="12.75">
      <c r="A105" s="2"/>
      <c r="B105" s="6"/>
      <c r="C105" s="2"/>
      <c r="E105" s="6"/>
    </row>
    <row r="106" spans="1:5" ht="12.75" hidden="1">
      <c r="A106" s="2"/>
      <c r="B106" s="6"/>
      <c r="C106" s="2"/>
      <c r="E106" s="6"/>
    </row>
    <row r="107" spans="1:8" ht="12.75">
      <c r="A107" s="9" t="s">
        <v>51</v>
      </c>
      <c r="B107" s="6"/>
      <c r="C107" s="2"/>
      <c r="D107" s="1">
        <f>ativo!I16</f>
        <v>24816.14</v>
      </c>
      <c r="E107" s="6"/>
      <c r="F107" s="1">
        <v>41242.1</v>
      </c>
      <c r="H107" s="1"/>
    </row>
    <row r="108" spans="1:5" ht="12.75">
      <c r="A108" s="2"/>
      <c r="B108" s="6"/>
      <c r="C108" s="2"/>
      <c r="E108" s="6"/>
    </row>
    <row r="109" spans="1:6" ht="12.75">
      <c r="A109" s="9" t="s">
        <v>52</v>
      </c>
      <c r="B109" s="7"/>
      <c r="C109" s="9"/>
      <c r="D109" s="21">
        <f>ativo!G16</f>
        <v>2621.94</v>
      </c>
      <c r="E109" s="6"/>
      <c r="F109" s="21">
        <f>ativo!I16</f>
        <v>24816.14</v>
      </c>
    </row>
    <row r="110" spans="2:10" ht="12.75">
      <c r="B110" s="7"/>
      <c r="E110" s="6"/>
      <c r="J110" s="1"/>
    </row>
    <row r="111" spans="1:10" ht="13.5" thickBot="1">
      <c r="A111" s="2" t="s">
        <v>53</v>
      </c>
      <c r="B111" s="6"/>
      <c r="D111" s="12">
        <f>D109-D107</f>
        <v>-22194.2</v>
      </c>
      <c r="E111" s="7"/>
      <c r="F111" s="12">
        <f>F109-F107</f>
        <v>-16425.96</v>
      </c>
      <c r="G111" s="1"/>
      <c r="J111" s="1"/>
    </row>
    <row r="112" ht="13.5" thickTop="1">
      <c r="E112" s="6"/>
    </row>
    <row r="113" spans="3:6" ht="12.75">
      <c r="C113" t="s">
        <v>172</v>
      </c>
      <c r="D113" s="1"/>
      <c r="E113" s="6"/>
      <c r="F113" s="1"/>
    </row>
    <row r="114" ht="12.75">
      <c r="E114" s="6"/>
    </row>
    <row r="115" spans="4:5" ht="12.75" hidden="1">
      <c r="D115" s="1"/>
      <c r="E115" s="6"/>
    </row>
    <row r="116" spans="4:7" ht="12.75">
      <c r="D116" s="6"/>
      <c r="E116" s="6"/>
      <c r="F116" s="6"/>
      <c r="G116" s="6"/>
    </row>
    <row r="117" spans="1:4" ht="12.75">
      <c r="A117" t="s">
        <v>109</v>
      </c>
      <c r="D117" t="s">
        <v>164</v>
      </c>
    </row>
    <row r="118" spans="1:4" ht="12.75">
      <c r="A118" t="s">
        <v>115</v>
      </c>
      <c r="D118" t="s">
        <v>165</v>
      </c>
    </row>
    <row r="120" ht="12.75" hidden="1"/>
    <row r="121" spans="3:7" ht="12.75">
      <c r="C121" s="6"/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4:7" ht="12.75" hidden="1">
      <c r="D123" s="6"/>
      <c r="E123" s="6"/>
      <c r="F123" s="6"/>
      <c r="G123" s="6"/>
    </row>
    <row r="124" spans="3:7" ht="12.75">
      <c r="C124" t="s">
        <v>119</v>
      </c>
      <c r="D124" s="6"/>
      <c r="E124" s="6"/>
      <c r="F124" s="6"/>
      <c r="G124" s="6"/>
    </row>
    <row r="125" ht="12.75">
      <c r="C125" t="s">
        <v>120</v>
      </c>
    </row>
    <row r="126" ht="12.75">
      <c r="C126" t="s">
        <v>121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0">
      <selection activeCell="A35" sqref="A35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8" max="8" width="10.140625" style="0" bestFit="1" customWidth="1"/>
  </cols>
  <sheetData>
    <row r="1" ht="12.75">
      <c r="E1" s="2"/>
    </row>
    <row r="5" ht="12.75">
      <c r="A5" s="2" t="s">
        <v>107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170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150</v>
      </c>
      <c r="B19" s="38">
        <v>266129.88</v>
      </c>
      <c r="C19" s="39"/>
      <c r="D19" s="35">
        <v>2448.63</v>
      </c>
      <c r="E19" s="35">
        <f>B19+D19</f>
        <v>268578.51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163</v>
      </c>
      <c r="B21" s="19">
        <v>2448.63</v>
      </c>
      <c r="C21" s="7"/>
      <c r="D21" s="42">
        <v>-2448.63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103</v>
      </c>
      <c r="B23" s="7"/>
      <c r="C23" s="7"/>
      <c r="D23" s="42">
        <f>resultado!J39</f>
        <v>23127.490000000464</v>
      </c>
      <c r="E23" s="42">
        <f>D23</f>
        <v>23127.490000000464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157</v>
      </c>
      <c r="B25" s="40">
        <f>B19+B21</f>
        <v>268578.51</v>
      </c>
      <c r="C25" s="40" t="e">
        <f>C19+#REF!+C23+C21</f>
        <v>#REF!</v>
      </c>
      <c r="D25" s="35">
        <f>D19+D21+D23</f>
        <v>23127.490000000464</v>
      </c>
      <c r="E25" s="35">
        <f>E19+E21+E23</f>
        <v>291706.00000000047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163</v>
      </c>
      <c r="B27" s="19">
        <v>23127.49</v>
      </c>
      <c r="C27" s="19"/>
      <c r="D27" s="42">
        <v>-23127.49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103</v>
      </c>
      <c r="B29" s="7"/>
      <c r="C29" s="7"/>
      <c r="D29" s="42">
        <f>resultado!H39</f>
        <v>48595.49000000012</v>
      </c>
      <c r="E29" s="42">
        <f>D29</f>
        <v>48595.49000000012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8" ht="12.75">
      <c r="A31" s="34" t="s">
        <v>169</v>
      </c>
      <c r="B31" s="35">
        <f>B25+B29+B27</f>
        <v>291706</v>
      </c>
      <c r="C31" s="40" t="e">
        <f>C25+C29+C27</f>
        <v>#REF!</v>
      </c>
      <c r="D31" s="35">
        <f>D25+D29+D27</f>
        <v>48595.49000000059</v>
      </c>
      <c r="E31" s="35">
        <f>E25+E29+E27</f>
        <v>340301.4900000006</v>
      </c>
      <c r="F31" s="1"/>
      <c r="H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171</v>
      </c>
    </row>
    <row r="35" ht="12.75">
      <c r="E35" s="1"/>
    </row>
    <row r="37" spans="1:6" ht="12.75">
      <c r="A37" s="3"/>
      <c r="D37" s="3"/>
      <c r="E37" s="3"/>
      <c r="F37" s="3"/>
    </row>
    <row r="38" spans="1:4" ht="12.75">
      <c r="A38" t="s">
        <v>109</v>
      </c>
      <c r="D38" t="s">
        <v>164</v>
      </c>
    </row>
    <row r="39" spans="1:4" ht="12.75">
      <c r="A39" t="s">
        <v>118</v>
      </c>
      <c r="D39" t="s">
        <v>165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104</v>
      </c>
    </row>
    <row r="46" spans="1:5" ht="12.75">
      <c r="A46" t="s">
        <v>116</v>
      </c>
      <c r="E46" s="1"/>
    </row>
    <row r="47" ht="12.75">
      <c r="A47" t="s">
        <v>117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1.8515625" style="0" customWidth="1"/>
    <col min="2" max="2" width="10.140625" style="0" bestFit="1" customWidth="1"/>
  </cols>
  <sheetData>
    <row r="2" spans="3:4" ht="12.75">
      <c r="C2">
        <v>2010</v>
      </c>
      <c r="D2">
        <v>2011</v>
      </c>
    </row>
    <row r="4" spans="1:4" ht="12.75">
      <c r="A4" t="s">
        <v>133</v>
      </c>
      <c r="B4" s="1">
        <f>B5+B6+B7+B8+B9+B10</f>
        <v>39119.08</v>
      </c>
      <c r="C4" s="1">
        <f>C5+C6+C7+C8+C9+C10</f>
        <v>2842.333</v>
      </c>
      <c r="D4" s="1">
        <f>D5+D6+D7+D8+D9+D10</f>
        <v>3710.3679999999995</v>
      </c>
    </row>
    <row r="5" spans="1:4" ht="12.75">
      <c r="A5" t="s">
        <v>134</v>
      </c>
      <c r="B5" s="1">
        <v>4240.08</v>
      </c>
      <c r="C5" s="1">
        <f>B5*10%</f>
        <v>424.00800000000004</v>
      </c>
      <c r="D5" s="1">
        <f>B5*10%</f>
        <v>424.00800000000004</v>
      </c>
    </row>
    <row r="6" spans="1:4" ht="12.75">
      <c r="A6" t="s">
        <v>135</v>
      </c>
      <c r="B6" s="1">
        <v>800</v>
      </c>
      <c r="C6" s="1">
        <f>(((B6*10%)/12)/30)*11+((B6*10%)/12)*11</f>
        <v>75.77777777777779</v>
      </c>
      <c r="D6" s="1">
        <f>B6*10%</f>
        <v>80</v>
      </c>
    </row>
    <row r="7" spans="1:4" ht="12.75">
      <c r="A7" t="s">
        <v>136</v>
      </c>
      <c r="B7" s="1">
        <v>4430</v>
      </c>
      <c r="C7" s="1">
        <f>(((B7*10%)/12)/30)*19+((B7*10%)/12)*10</f>
        <v>392.54722222222216</v>
      </c>
      <c r="D7" s="1">
        <f>B7*10%</f>
        <v>443</v>
      </c>
    </row>
    <row r="8" spans="1:4" ht="12.75">
      <c r="A8" t="s">
        <v>137</v>
      </c>
      <c r="B8" s="1">
        <v>26000</v>
      </c>
      <c r="C8" s="1">
        <f>(((B8*10%)/12)/30)*0+((B8*10%)/12)*9</f>
        <v>1950</v>
      </c>
      <c r="D8" s="1">
        <f>B8*10%</f>
        <v>2600</v>
      </c>
    </row>
    <row r="9" spans="1:4" ht="12.75">
      <c r="A9" t="s">
        <v>158</v>
      </c>
      <c r="B9" s="1">
        <v>1950</v>
      </c>
      <c r="C9" s="1"/>
      <c r="D9" s="1">
        <f>((B9*10%)/12)*8+(16.25/30)*25</f>
        <v>143.54166666666666</v>
      </c>
    </row>
    <row r="10" spans="1:4" ht="12.75">
      <c r="A10" t="s">
        <v>159</v>
      </c>
      <c r="B10" s="1">
        <v>1699</v>
      </c>
      <c r="C10" s="1"/>
      <c r="D10" s="1">
        <f>(B10*10%)/12+(14.15/30)*12</f>
        <v>19.818333333333335</v>
      </c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1:4" ht="12.75">
      <c r="A13" t="s">
        <v>138</v>
      </c>
      <c r="B13" s="1">
        <f>B14+B15+B16+B17+B18+B19+B20</f>
        <v>113229.22</v>
      </c>
      <c r="C13" s="1">
        <f>C14+C15+C16+C17+C18+C19+C20</f>
        <v>9367.677227777778</v>
      </c>
      <c r="D13" s="1">
        <f>D14+D15+D16+D17+D18+D19+D20</f>
        <v>11322.922</v>
      </c>
    </row>
    <row r="14" spans="1:4" ht="12.75">
      <c r="A14" t="s">
        <v>139</v>
      </c>
      <c r="B14" s="1">
        <v>39659.22</v>
      </c>
      <c r="C14" s="1">
        <f>(((B14*10%)/12)/30)*11+((B14*10%)/12)*11</f>
        <v>3756.6094500000004</v>
      </c>
      <c r="D14" s="1">
        <f>B14*10%</f>
        <v>3965.9220000000005</v>
      </c>
    </row>
    <row r="15" spans="1:4" ht="12.75">
      <c r="A15" t="s">
        <v>140</v>
      </c>
      <c r="B15" s="1">
        <v>34800</v>
      </c>
      <c r="C15" s="1">
        <f>(((B15*10%)/12)/30)*16+((B15*10%)/12)*11</f>
        <v>3344.6666666666665</v>
      </c>
      <c r="D15" s="1">
        <f aca="true" t="shared" si="0" ref="D15:D20">B15*10%</f>
        <v>3480</v>
      </c>
    </row>
    <row r="16" spans="1:4" ht="12.75">
      <c r="A16" t="s">
        <v>141</v>
      </c>
      <c r="B16" s="1">
        <v>20400</v>
      </c>
      <c r="C16" s="1">
        <f>(((B16*10%)/12)/30)*4+((B16*10%)/12)*9</f>
        <v>1552.6666666666667</v>
      </c>
      <c r="D16" s="1">
        <f t="shared" si="0"/>
        <v>2040</v>
      </c>
    </row>
    <row r="17" spans="1:4" ht="12.75">
      <c r="A17" t="s">
        <v>142</v>
      </c>
      <c r="B17" s="1">
        <v>2968</v>
      </c>
      <c r="C17" s="1">
        <f>(((B17*10%)/12)/30)*4+((B17*10%)/12)*8</f>
        <v>201.16444444444446</v>
      </c>
      <c r="D17" s="1">
        <f t="shared" si="0"/>
        <v>296.8</v>
      </c>
    </row>
    <row r="18" spans="1:4" ht="12.75">
      <c r="A18" t="s">
        <v>143</v>
      </c>
      <c r="B18" s="1">
        <v>2382</v>
      </c>
      <c r="C18" s="1">
        <f>(((B18*10%)/12)/30)*26+((B18*10%)/12)*7</f>
        <v>156.15333333333336</v>
      </c>
      <c r="D18" s="1">
        <f t="shared" si="0"/>
        <v>238.20000000000002</v>
      </c>
    </row>
    <row r="19" spans="1:4" ht="12.75">
      <c r="A19" t="s">
        <v>144</v>
      </c>
      <c r="B19" s="1">
        <v>12600</v>
      </c>
      <c r="C19" s="1">
        <f>(((B19*10%)/12)/30)*10+((B19*10%)/12)*3</f>
        <v>350</v>
      </c>
      <c r="D19" s="1">
        <f t="shared" si="0"/>
        <v>1260</v>
      </c>
    </row>
    <row r="20" spans="1:4" ht="12.75">
      <c r="A20" t="s">
        <v>145</v>
      </c>
      <c r="B20" s="1">
        <v>420</v>
      </c>
      <c r="C20" s="1">
        <f>(((B20*10%)/12)/30)*25+((B20*10%)/12)*1</f>
        <v>6.416666666666666</v>
      </c>
      <c r="D20" s="1">
        <f t="shared" si="0"/>
        <v>42</v>
      </c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1:4" ht="12.75">
      <c r="A23" t="s">
        <v>146</v>
      </c>
      <c r="B23" s="1">
        <f>B24</f>
        <v>45000</v>
      </c>
      <c r="C23" s="1">
        <f>C24</f>
        <v>9000</v>
      </c>
      <c r="D23" s="1">
        <f>D24</f>
        <v>9000</v>
      </c>
    </row>
    <row r="24" spans="1:4" ht="12.75">
      <c r="A24" t="s">
        <v>139</v>
      </c>
      <c r="B24" s="1">
        <v>45000</v>
      </c>
      <c r="C24" s="1">
        <f>(((B24*20%)/12)/30)*0+((B24*20%)/12)*12</f>
        <v>9000</v>
      </c>
      <c r="D24" s="1">
        <f>B24*20%</f>
        <v>9000</v>
      </c>
    </row>
    <row r="25" spans="3:4" ht="12.75">
      <c r="C25" s="1"/>
      <c r="D25" s="1"/>
    </row>
    <row r="26" spans="1:4" ht="12.75">
      <c r="A26" t="s">
        <v>147</v>
      </c>
      <c r="B26" s="1">
        <f>B27+B28+B29+B30</f>
        <v>3769</v>
      </c>
      <c r="C26" s="1">
        <f>C27+C28+C29+C30</f>
        <v>360.21000000000004</v>
      </c>
      <c r="D26" s="1">
        <f>D27+D28+D29+D30</f>
        <v>730.6850000000001</v>
      </c>
    </row>
    <row r="27" spans="1:4" ht="12.75">
      <c r="A27" t="s">
        <v>134</v>
      </c>
      <c r="B27" s="1">
        <v>1378</v>
      </c>
      <c r="C27" s="1">
        <f>(((B27*20%)/12)/30)*0+((B27*20%)/12)*12</f>
        <v>275.6</v>
      </c>
      <c r="D27" s="1">
        <f>B27*20%</f>
        <v>275.6</v>
      </c>
    </row>
    <row r="28" spans="1:4" ht="12.75">
      <c r="A28" t="s">
        <v>148</v>
      </c>
      <c r="B28" s="1">
        <v>900</v>
      </c>
      <c r="C28" s="1">
        <f>(((B28*10%)/12)/30)*13+((B28*10%)/12)*7</f>
        <v>55.75</v>
      </c>
      <c r="D28" s="1">
        <f>B28*20%</f>
        <v>180</v>
      </c>
    </row>
    <row r="29" spans="1:4" ht="12.75">
      <c r="A29" t="s">
        <v>149</v>
      </c>
      <c r="B29" s="1">
        <v>888</v>
      </c>
      <c r="C29" s="1">
        <f>(((B29*10%)/12)/30)*27+((B29*10%)/12)*3</f>
        <v>28.860000000000003</v>
      </c>
      <c r="D29" s="1">
        <f>B29*20%</f>
        <v>177.60000000000002</v>
      </c>
    </row>
    <row r="30" spans="1:4" ht="12.75">
      <c r="A30" t="s">
        <v>160</v>
      </c>
      <c r="B30" s="1">
        <v>603</v>
      </c>
      <c r="C30" s="1"/>
      <c r="D30" s="1">
        <f>((B30*20%)/12)*9+(10.05/30)*21</f>
        <v>97.485</v>
      </c>
    </row>
    <row r="31" spans="2:3" ht="12.75">
      <c r="B31" s="1"/>
      <c r="C31" s="1"/>
    </row>
    <row r="32" spans="2:3" ht="12.75">
      <c r="B32" s="1"/>
      <c r="C32" s="1"/>
    </row>
  </sheetData>
  <sheetProtection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2">
      <selection activeCell="L44" sqref="L44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2" max="12" width="10.140625" style="0" bestFit="1" customWidth="1"/>
  </cols>
  <sheetData>
    <row r="1" ht="12.75">
      <c r="J1" s="2"/>
    </row>
    <row r="3" ht="12.75">
      <c r="A3" t="s">
        <v>108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40999</v>
      </c>
      <c r="J11" s="8">
        <v>40908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598282.91</v>
      </c>
      <c r="I13" s="10"/>
      <c r="J13" s="11">
        <f>J15+J16+J18+J20+J21+J22</f>
        <v>2713914.62</v>
      </c>
    </row>
    <row r="14" spans="7:10" ht="12.75">
      <c r="G14" s="5"/>
      <c r="H14" s="1"/>
      <c r="J14" s="1"/>
    </row>
    <row r="15" spans="1:10" ht="12.75">
      <c r="A15" t="s">
        <v>87</v>
      </c>
      <c r="G15" s="5"/>
      <c r="H15" s="1">
        <v>444643.8</v>
      </c>
      <c r="J15" s="1">
        <f>1826066.6</f>
        <v>1826066.6</v>
      </c>
    </row>
    <row r="16" spans="1:10" ht="12.75">
      <c r="A16" t="s">
        <v>88</v>
      </c>
      <c r="G16" s="5"/>
      <c r="H16" s="1">
        <f>101669.69+19015.74</f>
        <v>120685.43000000001</v>
      </c>
      <c r="J16" s="1">
        <f>659136.21+62348.89</f>
        <v>721485.1</v>
      </c>
    </row>
    <row r="17" spans="7:10" ht="12.75" hidden="1">
      <c r="G17" s="5"/>
      <c r="H17" s="1"/>
      <c r="J17" s="1"/>
    </row>
    <row r="18" spans="1:10" ht="12.75">
      <c r="A18" t="s">
        <v>89</v>
      </c>
      <c r="G18" s="5"/>
      <c r="H18" s="1">
        <v>0</v>
      </c>
      <c r="J18" s="1">
        <v>28645</v>
      </c>
    </row>
    <row r="19" spans="7:10" ht="12.75" hidden="1">
      <c r="G19" s="5"/>
      <c r="H19" s="1"/>
      <c r="J19" s="1"/>
    </row>
    <row r="20" spans="1:10" ht="12.75">
      <c r="A20" t="s">
        <v>126</v>
      </c>
      <c r="G20" s="5"/>
      <c r="H20" s="1">
        <v>21105</v>
      </c>
      <c r="J20" s="1">
        <v>72483</v>
      </c>
    </row>
    <row r="21" spans="1:10" ht="12.75">
      <c r="A21" t="s">
        <v>90</v>
      </c>
      <c r="G21" s="5"/>
      <c r="H21" s="1">
        <v>11433.56</v>
      </c>
      <c r="J21" s="1">
        <v>56034.88</v>
      </c>
    </row>
    <row r="22" spans="1:10" ht="12.75">
      <c r="A22" t="s">
        <v>18</v>
      </c>
      <c r="G22" s="5"/>
      <c r="H22" s="1">
        <f>585+15+75+1440.12-1700</f>
        <v>415.1199999999999</v>
      </c>
      <c r="J22" s="1">
        <f>1100.04+570+1160+6255+115</f>
        <v>9200.04</v>
      </c>
    </row>
    <row r="23" spans="7:10" ht="12.75">
      <c r="G23" s="5"/>
      <c r="H23" s="1"/>
      <c r="J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-679592.3999999999</v>
      </c>
      <c r="I24" s="10"/>
      <c r="J24" s="11">
        <f>J26+J27+J28+J29+J30+J31</f>
        <v>-2736148.3699999996</v>
      </c>
    </row>
    <row r="25" spans="7:10" ht="12.75">
      <c r="G25" s="5"/>
      <c r="H25" s="1"/>
      <c r="J25" s="1"/>
    </row>
    <row r="26" spans="1:10" ht="12.75">
      <c r="A26" t="s">
        <v>91</v>
      </c>
      <c r="G26" s="5"/>
      <c r="H26" s="1">
        <v>-225786.75</v>
      </c>
      <c r="J26" s="1">
        <f>-1049989.29</f>
        <v>-1049989.29</v>
      </c>
    </row>
    <row r="27" spans="1:10" ht="12.75">
      <c r="A27" t="s">
        <v>16</v>
      </c>
      <c r="G27" s="5"/>
      <c r="H27" s="1">
        <v>-27530.22</v>
      </c>
      <c r="J27" s="1">
        <v>-192626.07</v>
      </c>
    </row>
    <row r="28" spans="1:12" ht="12.75">
      <c r="A28" t="s">
        <v>92</v>
      </c>
      <c r="G28" s="5"/>
      <c r="H28" s="1">
        <v>-294605.48</v>
      </c>
      <c r="J28" s="1">
        <f>-1096598.56</f>
        <v>-1096598.56</v>
      </c>
      <c r="L28" s="1"/>
    </row>
    <row r="29" spans="1:10" ht="12.75">
      <c r="A29" t="s">
        <v>93</v>
      </c>
      <c r="G29" s="5"/>
      <c r="H29" s="1">
        <v>-116414.97</v>
      </c>
      <c r="J29" s="1">
        <v>-443929.17</v>
      </c>
    </row>
    <row r="30" spans="1:10" ht="12.75">
      <c r="A30" t="s">
        <v>94</v>
      </c>
      <c r="G30" s="5"/>
      <c r="H30" s="1">
        <v>-15425.6</v>
      </c>
      <c r="J30" s="1">
        <v>-72862.3</v>
      </c>
    </row>
    <row r="31" spans="1:10" ht="12.75">
      <c r="A31" t="s">
        <v>27</v>
      </c>
      <c r="G31" s="5"/>
      <c r="H31" s="1">
        <v>170.62</v>
      </c>
      <c r="J31" s="1">
        <v>119857.02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-81309.48999999987</v>
      </c>
      <c r="I34" s="10"/>
      <c r="J34" s="11">
        <f>J13+J24</f>
        <v>-22233.749999999534</v>
      </c>
    </row>
    <row r="35" spans="7:10" ht="12.75">
      <c r="G35" s="5"/>
      <c r="H35" s="1"/>
      <c r="J35" s="1"/>
    </row>
    <row r="36" spans="1:10" ht="12.75">
      <c r="A36" t="s">
        <v>123</v>
      </c>
      <c r="G36" s="5"/>
      <c r="H36" s="1">
        <v>129904.98</v>
      </c>
      <c r="J36" s="1">
        <v>50000</v>
      </c>
    </row>
    <row r="37" spans="1:10" ht="12.75">
      <c r="A37" t="s">
        <v>132</v>
      </c>
      <c r="G37" s="5"/>
      <c r="H37" s="1">
        <v>0</v>
      </c>
      <c r="J37" s="1">
        <v>-4638.76</v>
      </c>
    </row>
    <row r="38" spans="7:10" ht="12.75">
      <c r="G38" s="5"/>
      <c r="H38" s="1"/>
      <c r="J38" s="1"/>
    </row>
    <row r="39" spans="1:10" ht="13.5" thickBot="1">
      <c r="A39" s="2" t="s">
        <v>102</v>
      </c>
      <c r="B39" s="2"/>
      <c r="C39" s="2"/>
      <c r="D39" s="2"/>
      <c r="E39" s="2"/>
      <c r="F39" s="2"/>
      <c r="G39" s="7"/>
      <c r="H39" s="12">
        <f>H34+H36+H37+H38</f>
        <v>48595.49000000012</v>
      </c>
      <c r="I39" s="10"/>
      <c r="J39" s="12">
        <f>J34+J36+J37+J38</f>
        <v>23127.490000000464</v>
      </c>
    </row>
    <row r="40" ht="13.5" thickTop="1"/>
    <row r="42" ht="12.75">
      <c r="D42" t="s">
        <v>166</v>
      </c>
    </row>
    <row r="46" spans="1:11" ht="12.75">
      <c r="A46" s="3"/>
      <c r="B46" s="3"/>
      <c r="C46" s="3"/>
      <c r="D46" s="3"/>
      <c r="E46" s="3"/>
      <c r="F46" s="6"/>
      <c r="G46" s="3"/>
      <c r="H46" s="3"/>
      <c r="I46" s="3"/>
      <c r="J46" s="3"/>
      <c r="K46" s="3"/>
    </row>
    <row r="47" spans="1:7" ht="12.75">
      <c r="A47" t="s">
        <v>109</v>
      </c>
      <c r="F47" s="6"/>
      <c r="G47" t="s">
        <v>164</v>
      </c>
    </row>
    <row r="48" spans="1:7" ht="12.75">
      <c r="A48" t="s">
        <v>118</v>
      </c>
      <c r="G48" t="s">
        <v>165</v>
      </c>
    </row>
    <row r="50" ht="12.75" hidden="1"/>
    <row r="52" spans="3:8" ht="12.75">
      <c r="C52" s="3"/>
      <c r="D52" s="3"/>
      <c r="E52" s="3"/>
      <c r="F52" s="3"/>
      <c r="G52" s="3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2012-09-28T19:04:47Z</cp:lastPrinted>
  <dcterms:created xsi:type="dcterms:W3CDTF">1999-02-04T01:52:30Z</dcterms:created>
  <dcterms:modified xsi:type="dcterms:W3CDTF">2012-09-28T19:19:46Z</dcterms:modified>
  <cp:category/>
  <cp:version/>
  <cp:contentType/>
  <cp:contentStatus/>
</cp:coreProperties>
</file>